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1020" yWindow="1920" windowWidth="15315" windowHeight="3495" tabRatio="379" activeTab="1"/>
  </bookViews>
  <sheets>
    <sheet name="Анализ стоимости" sheetId="3" r:id="rId1"/>
    <sheet name="НМЦК несколько объектов" sheetId="11" r:id="rId2"/>
    <sheet name="Расчет инфляции" sheetId="6" state="hidden" r:id="rId3"/>
    <sheet name="Лист1" sheetId="12" r:id="rId4"/>
    <sheet name="Лист2" sheetId="13" r:id="rId5"/>
  </sheets>
  <externalReferences>
    <externalReference r:id="rId6"/>
  </externalReferences>
  <definedNames>
    <definedName name="_xlnm._FilterDatabase" localSheetId="0" hidden="1">'Анализ стоимости'!$A$3:$DK$45</definedName>
    <definedName name="_xlnm._FilterDatabase" localSheetId="1" hidden="1">'НМЦК несколько объектов'!$J$1:$J$1401</definedName>
    <definedName name="_xlnm._FilterDatabase" localSheetId="2" hidden="1">'Расчет инфляции'!$Z$5:$Z$369</definedName>
    <definedName name="Z_20674EAF_0582_4C28_9051_214C079DC982_.wvu.Cols" localSheetId="1" hidden="1">'НМЦК несколько объектов'!$I:$I</definedName>
    <definedName name="Z_20674EAF_0582_4C28_9051_214C079DC982_.wvu.PrintArea" localSheetId="1" hidden="1">'НМЦК несколько объектов'!$A$7:$D$42</definedName>
    <definedName name="Z_20674EAF_0582_4C28_9051_214C079DC982_.wvu.Rows" localSheetId="1" hidden="1">'НМЦК несколько объектов'!#REF!</definedName>
    <definedName name="Z_43889114_04BF_44D3_992E_131E2975CB0B_.wvu.FilterData" localSheetId="0" hidden="1">'Анализ стоимости'!$A$3:$DK$45</definedName>
    <definedName name="Z_4A5FEB23_9FEA_4E9B_A143_FBC359C68DA8_.wvu.Cols" localSheetId="1" hidden="1">'НМЦК несколько объектов'!$I:$I</definedName>
    <definedName name="Z_4A5FEB23_9FEA_4E9B_A143_FBC359C68DA8_.wvu.FilterData" localSheetId="0" hidden="1">'Анализ стоимости'!$A$3:$DK$45</definedName>
    <definedName name="Z_4A5FEB23_9FEA_4E9B_A143_FBC359C68DA8_.wvu.FilterData" localSheetId="2" hidden="1">'Расчет инфляции'!$H$4:$X$370</definedName>
    <definedName name="Z_4A5FEB23_9FEA_4E9B_A143_FBC359C68DA8_.wvu.PrintArea" localSheetId="0" hidden="1">'Анализ стоимости'!$K$2:$BY$51</definedName>
    <definedName name="Z_4A5FEB23_9FEA_4E9B_A143_FBC359C68DA8_.wvu.PrintArea" localSheetId="1" hidden="1">'НМЦК несколько объектов'!$A$7:$D$42</definedName>
    <definedName name="Z_4A5FEB23_9FEA_4E9B_A143_FBC359C68DA8_.wvu.PrintTitles" localSheetId="0" hidden="1">'Анализ стоимости'!$2:$2</definedName>
    <definedName name="Z_4A5FEB23_9FEA_4E9B_A143_FBC359C68DA8_.wvu.Rows" localSheetId="0" hidden="1">'Анализ стоимости'!#REF!,'Анализ стоимости'!#REF!,'Анализ стоимости'!#REF!</definedName>
    <definedName name="Z_4A5FEB23_9FEA_4E9B_A143_FBC359C68DA8_.wvu.Rows" localSheetId="1" hidden="1">'НМЦК несколько объектов'!#REF!</definedName>
    <definedName name="Z_67AC2CBC_2876_4E14_8EE2_582C5F737BC3_.wvu.Cols" localSheetId="0" hidden="1">'Анализ стоимости'!$E:$G,'Анализ стоимости'!#REF!</definedName>
    <definedName name="Z_67AC2CBC_2876_4E14_8EE2_582C5F737BC3_.wvu.Cols" localSheetId="1" hidden="1">'НМЦК несколько объектов'!$I:$I</definedName>
    <definedName name="Z_67AC2CBC_2876_4E14_8EE2_582C5F737BC3_.wvu.FilterData" localSheetId="0" hidden="1">'Анализ стоимости'!$A$3:$DK$45</definedName>
    <definedName name="Z_67AC2CBC_2876_4E14_8EE2_582C5F737BC3_.wvu.FilterData" localSheetId="2" hidden="1">'Расчет инфляции'!$H$4:$X$370</definedName>
    <definedName name="Z_67AC2CBC_2876_4E14_8EE2_582C5F737BC3_.wvu.PrintArea" localSheetId="0" hidden="1">'Анализ стоимости'!$K$2:$BY$51</definedName>
    <definedName name="Z_67AC2CBC_2876_4E14_8EE2_582C5F737BC3_.wvu.PrintArea" localSheetId="1" hidden="1">'НМЦК несколько объектов'!$A$7:$D$42</definedName>
    <definedName name="Z_67AC2CBC_2876_4E14_8EE2_582C5F737BC3_.wvu.PrintTitles" localSheetId="0" hidden="1">'Анализ стоимости'!$2:$2</definedName>
    <definedName name="Z_76AC8A47_0222_474F_85DA_9CB477F01022_.wvu.Cols" localSheetId="0" hidden="1">'Анализ стоимости'!$E:$G,'Анализ стоимости'!$N:$BN</definedName>
    <definedName name="Z_76AC8A47_0222_474F_85DA_9CB477F01022_.wvu.Cols" localSheetId="1" hidden="1">'НМЦК несколько объектов'!$I:$I</definedName>
    <definedName name="Z_76AC8A47_0222_474F_85DA_9CB477F01022_.wvu.FilterData" localSheetId="0" hidden="1">'Анализ стоимости'!$A$3:$DK$43</definedName>
    <definedName name="Z_76AC8A47_0222_474F_85DA_9CB477F01022_.wvu.FilterData" localSheetId="2" hidden="1">'Расчет инфляции'!$H$4:$X$370</definedName>
    <definedName name="Z_76AC8A47_0222_474F_85DA_9CB477F01022_.wvu.PrintArea" localSheetId="0" hidden="1">'Анализ стоимости'!$K$2:$BY$51</definedName>
    <definedName name="Z_76AC8A47_0222_474F_85DA_9CB477F01022_.wvu.PrintArea" localSheetId="1" hidden="1">'НМЦК несколько объектов'!$A$7:$D$42</definedName>
    <definedName name="Z_76AC8A47_0222_474F_85DA_9CB477F01022_.wvu.PrintTitles" localSheetId="0" hidden="1">'Анализ стоимости'!$2:$2</definedName>
    <definedName name="Z_76AC8A47_0222_474F_85DA_9CB477F01022_.wvu.Rows" localSheetId="0" hidden="1">'Анализ стоимости'!#REF!,'Анализ стоимости'!#REF!,'Анализ стоимости'!#REF!</definedName>
    <definedName name="Z_90F100AD_F246_46FD_9565_AB98EFB8DDA7_.wvu.Cols" localSheetId="1" hidden="1">'НМЦК несколько объектов'!$I:$I</definedName>
    <definedName name="Z_90F100AD_F246_46FD_9565_AB98EFB8DDA7_.wvu.FilterData" localSheetId="0" hidden="1">'Анализ стоимости'!$A$3:$DK$45</definedName>
    <definedName name="Z_90F100AD_F246_46FD_9565_AB98EFB8DDA7_.wvu.FilterData" localSheetId="2" hidden="1">'Расчет инфляции'!$H$4:$X$370</definedName>
    <definedName name="Z_90F100AD_F246_46FD_9565_AB98EFB8DDA7_.wvu.PrintArea" localSheetId="0" hidden="1">'Анализ стоимости'!$K$2:$BY$51</definedName>
    <definedName name="Z_90F100AD_F246_46FD_9565_AB98EFB8DDA7_.wvu.PrintArea" localSheetId="1" hidden="1">'НМЦК несколько объектов'!$A$7:$D$42</definedName>
    <definedName name="Z_90F100AD_F246_46FD_9565_AB98EFB8DDA7_.wvu.PrintTitles" localSheetId="0" hidden="1">'Анализ стоимости'!$2:$2</definedName>
    <definedName name="Z_90F100AD_F246_46FD_9565_AB98EFB8DDA7_.wvu.Rows" localSheetId="0" hidden="1">'Анализ стоимости'!#REF!,'Анализ стоимости'!#REF!,'Анализ стоимости'!#REF!</definedName>
    <definedName name="Z_9DAF7279_AD12_4D0F_ADE4_5141B65ABF3D_.wvu.FilterData" localSheetId="0" hidden="1">'Анализ стоимости'!$A$3:$DK$45</definedName>
    <definedName name="Z_A19576DF_5EAC_42FB_8EDC_956585D13816_.wvu.Cols" localSheetId="1" hidden="1">'НМЦК несколько объектов'!$I:$I</definedName>
    <definedName name="Z_A19576DF_5EAC_42FB_8EDC_956585D13816_.wvu.PrintArea" localSheetId="1" hidden="1">'НМЦК несколько объектов'!$A$7:$D$42</definedName>
    <definedName name="Z_A19576DF_5EAC_42FB_8EDC_956585D13816_.wvu.Rows" localSheetId="1" hidden="1">'НМЦК несколько объектов'!#REF!</definedName>
    <definedName name="Z_B8FD124D_31C2_4F4A_84F1_8C5F7E2A1D9D_.wvu.Cols" localSheetId="1" hidden="1">'НМЦК несколько объектов'!$I:$I</definedName>
    <definedName name="Z_B8FD124D_31C2_4F4A_84F1_8C5F7E2A1D9D_.wvu.PrintArea" localSheetId="1" hidden="1">'НМЦК несколько объектов'!$A$7:$D$42</definedName>
    <definedName name="Z_B8FD124D_31C2_4F4A_84F1_8C5F7E2A1D9D_.wvu.Rows" localSheetId="1" hidden="1">'НМЦК несколько объектов'!#REF!</definedName>
    <definedName name="Z_BBEE06E4_9205_40DB_9C78_E17648755B00_.wvu.Cols" localSheetId="0" hidden="1">'Анализ стоимости'!$E:$G</definedName>
    <definedName name="Z_BBEE06E4_9205_40DB_9C78_E17648755B00_.wvu.FilterData" localSheetId="0" hidden="1">'Анализ стоимости'!$A$3:$DK$45</definedName>
    <definedName name="Z_BBEE06E4_9205_40DB_9C78_E17648755B00_.wvu.FilterData" localSheetId="2" hidden="1">'Расчет инфляции'!$H$4:$X$370</definedName>
    <definedName name="Z_BBEE06E4_9205_40DB_9C78_E17648755B00_.wvu.PrintArea" localSheetId="0" hidden="1">'Анализ стоимости'!$K$2:$BY$51</definedName>
    <definedName name="Z_BBEE06E4_9205_40DB_9C78_E17648755B00_.wvu.PrintTitles" localSheetId="0" hidden="1">'Анализ стоимости'!$2:$2</definedName>
    <definedName name="Z_BBEE06E4_9205_40DB_9C78_E17648755B00_.wvu.Rows" localSheetId="0" hidden="1">'Анализ стоимости'!#REF!</definedName>
    <definedName name="Z_C619A84C_E4B0_44E1_A044_2C656063D1B7_.wvu.FilterData" localSheetId="0" hidden="1">'Анализ стоимости'!$A$3:$DK$45</definedName>
    <definedName name="Z_E031E075_6987_4F32_9116_EC6B3E9AF434_.wvu.Cols" localSheetId="1" hidden="1">'НМЦК несколько объектов'!$I:$I</definedName>
    <definedName name="Z_E031E075_6987_4F32_9116_EC6B3E9AF434_.wvu.FilterData" localSheetId="0" hidden="1">'Анализ стоимости'!$A$3:$DK$45</definedName>
    <definedName name="Z_E031E075_6987_4F32_9116_EC6B3E9AF434_.wvu.FilterData" localSheetId="2" hidden="1">'Расчет инфляции'!$H$4:$X$370</definedName>
    <definedName name="Z_E031E075_6987_4F32_9116_EC6B3E9AF434_.wvu.PrintArea" localSheetId="0" hidden="1">'Анализ стоимости'!$K$2:$BY$51</definedName>
    <definedName name="Z_E031E075_6987_4F32_9116_EC6B3E9AF434_.wvu.PrintArea" localSheetId="1" hidden="1">'НМЦК несколько объектов'!$A$7:$D$42</definedName>
    <definedName name="Z_E031E075_6987_4F32_9116_EC6B3E9AF434_.wvu.PrintTitles" localSheetId="0" hidden="1">'Анализ стоимости'!$2:$2</definedName>
    <definedName name="Z_E031E075_6987_4F32_9116_EC6B3E9AF434_.wvu.Rows" localSheetId="0" hidden="1">'Анализ стоимости'!#REF!,'Анализ стоимости'!#REF!,'Анализ стоимости'!#REF!</definedName>
    <definedName name="_xlnm.Print_Titles" localSheetId="0">'Анализ стоимости'!$2:$2</definedName>
    <definedName name="Инфляция" localSheetId="1">#REF!</definedName>
    <definedName name="Инфляция">#REF!</definedName>
    <definedName name="Компенсации">[1]Ресурсы!$A$4:$N$65536</definedName>
    <definedName name="_xlnm.Print_Area" localSheetId="0">'Анализ стоимости'!$K$2:$BY$51</definedName>
    <definedName name="_xlnm.Print_Area" localSheetId="1">'НМЦК несколько объектов'!$A$2:$D$1401</definedName>
    <definedName name="Объекты">[1]Объекты!$A$3:$K$65536</definedName>
  </definedNames>
  <calcPr calcId="125725"/>
  <customWorkbookViews>
    <customWorkbookView name="Ермолаева Светлана Владимировна - Личное представление" guid="{E031E075-6987-4F32-9116-EC6B3E9AF434}" mergeInterval="0" personalView="1" maximized="1" windowWidth="1276" windowHeight="805" activeSheetId="3"/>
    <customWorkbookView name="Смирнова Марина Владимировна - Личное представление" guid="{90F100AD-F246-46FD-9565-AB98EFB8DDA7}" mergeInterval="0" personalView="1" maximized="1" windowWidth="1276" windowHeight="769" tabRatio="606" activeSheetId="3"/>
    <customWorkbookView name="a_nabokina - Личное представление" guid="{67AC2CBC-2876-4E14-8EE2-582C5F737BC3}" mergeInterval="0" personalView="1" maximized="1" windowWidth="1020" windowHeight="603" activeSheetId="3"/>
    <customWorkbookView name="a_beloshkura - Личное представление" guid="{BBEE06E4-9205-40DB-9C78-E17648755B00}" mergeInterval="0" personalView="1" maximized="1" windowWidth="1436" windowHeight="728" activeSheetId="3"/>
    <customWorkbookView name="s_ermolaeva - Личное представление" guid="{4A5FEB23-9FEA-4E9B-A143-FBC359C68DA8}" mergeInterval="0" personalView="1" maximized="1" windowWidth="1276" windowHeight="878" activeSheetId="3"/>
    <customWorkbookView name="Белошкура Андрей Александрович - Личное представление" guid="{76AC8A47-0222-474F-85DA-9CB477F01022}" mergeInterval="0" personalView="1" maximized="1" windowWidth="1436" windowHeight="667" activeSheetId="3"/>
  </customWorkbookViews>
</workbook>
</file>

<file path=xl/calcChain.xml><?xml version="1.0" encoding="utf-8"?>
<calcChain xmlns="http://schemas.openxmlformats.org/spreadsheetml/2006/main">
  <c r="CO5" i="3"/>
  <c r="CK5"/>
  <c r="CC5"/>
  <c r="CE5"/>
  <c r="O5"/>
  <c r="N5"/>
  <c r="R4"/>
  <c r="Q4"/>
  <c r="P4"/>
  <c r="O4"/>
  <c r="N4"/>
  <c r="A14" i="13" l="1"/>
  <c r="H10"/>
  <c r="H8"/>
  <c r="B8" i="12" l="1"/>
  <c r="A8"/>
  <c r="T9" i="3" l="1"/>
  <c r="T43" l="1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8"/>
  <c r="T7"/>
  <c r="T6"/>
  <c r="T5"/>
  <c r="T4"/>
  <c r="CY44" l="1"/>
  <c r="CC44"/>
  <c r="CB44"/>
  <c r="CX44"/>
  <c r="CW44"/>
  <c r="CV44"/>
  <c r="CU44"/>
  <c r="CT44"/>
  <c r="CS44"/>
  <c r="CR44"/>
  <c r="CQ44"/>
  <c r="CP44"/>
  <c r="CO44"/>
  <c r="CN44"/>
  <c r="CM44"/>
  <c r="CL44"/>
  <c r="CK44"/>
  <c r="CJ44"/>
  <c r="CI44"/>
  <c r="CH44"/>
  <c r="CG44"/>
  <c r="CF44"/>
  <c r="CE44"/>
  <c r="CD44"/>
  <c r="BZ44"/>
  <c r="D1399" i="11" l="1"/>
  <c r="A1399"/>
  <c r="G1399" s="1"/>
  <c r="D1365"/>
  <c r="A1365"/>
  <c r="G1365" s="1"/>
  <c r="D1331"/>
  <c r="A1331"/>
  <c r="G1331" s="1"/>
  <c r="D1297"/>
  <c r="A1297"/>
  <c r="G1297" s="1"/>
  <c r="D1263"/>
  <c r="A1263"/>
  <c r="G1263" s="1"/>
  <c r="D1229"/>
  <c r="A1229"/>
  <c r="G1229" s="1"/>
  <c r="D1195"/>
  <c r="A1195"/>
  <c r="G1195" s="1"/>
  <c r="D1161"/>
  <c r="A1161"/>
  <c r="G1161" s="1"/>
  <c r="D1127"/>
  <c r="A1127"/>
  <c r="G1127" s="1"/>
  <c r="D1093"/>
  <c r="A1093"/>
  <c r="G1093" s="1"/>
  <c r="D1059"/>
  <c r="A1059"/>
  <c r="G1059" s="1"/>
  <c r="D1025"/>
  <c r="A1025"/>
  <c r="G1025" s="1"/>
  <c r="D991"/>
  <c r="A991"/>
  <c r="G991" s="1"/>
  <c r="D957"/>
  <c r="A957"/>
  <c r="G957" s="1"/>
  <c r="D923"/>
  <c r="A923"/>
  <c r="G923" s="1"/>
  <c r="D889"/>
  <c r="A889"/>
  <c r="G889" s="1"/>
  <c r="D855"/>
  <c r="A855"/>
  <c r="G855" s="1"/>
  <c r="D821"/>
  <c r="A821"/>
  <c r="G821" s="1"/>
  <c r="D787"/>
  <c r="A787"/>
  <c r="G787" s="1"/>
  <c r="D753"/>
  <c r="A753"/>
  <c r="G753" s="1"/>
  <c r="D719"/>
  <c r="A719"/>
  <c r="G719" s="1"/>
  <c r="D685"/>
  <c r="A685"/>
  <c r="G685" s="1"/>
  <c r="D651"/>
  <c r="A651"/>
  <c r="G651" s="1"/>
  <c r="D617"/>
  <c r="A617"/>
  <c r="G617" s="1"/>
  <c r="D583"/>
  <c r="A583"/>
  <c r="G583" s="1"/>
  <c r="D549"/>
  <c r="A549"/>
  <c r="G549" s="1"/>
  <c r="D515"/>
  <c r="A515"/>
  <c r="G515" s="1"/>
  <c r="D481"/>
  <c r="A481"/>
  <c r="G481" s="1"/>
  <c r="D447"/>
  <c r="A447"/>
  <c r="G447" s="1"/>
  <c r="D413"/>
  <c r="A413"/>
  <c r="G413" s="1"/>
  <c r="D379"/>
  <c r="A379"/>
  <c r="G379" s="1"/>
  <c r="D345"/>
  <c r="A345"/>
  <c r="G345" s="1"/>
  <c r="D311"/>
  <c r="A311"/>
  <c r="G311" s="1"/>
  <c r="D277"/>
  <c r="A277"/>
  <c r="G277" s="1"/>
  <c r="D243"/>
  <c r="A243"/>
  <c r="G243" s="1"/>
  <c r="D209"/>
  <c r="A209"/>
  <c r="G209" s="1"/>
  <c r="D175"/>
  <c r="A175"/>
  <c r="G175" s="1"/>
  <c r="D141"/>
  <c r="A141"/>
  <c r="D107"/>
  <c r="A107"/>
  <c r="D73"/>
  <c r="A73"/>
  <c r="A39"/>
  <c r="H3"/>
  <c r="D5"/>
  <c r="C3"/>
  <c r="D39"/>
  <c r="BE40" i="6"/>
  <c r="BE43"/>
  <c r="BE39"/>
  <c r="BE38"/>
  <c r="BE37"/>
  <c r="BE41"/>
  <c r="BF40"/>
  <c r="BF39"/>
  <c r="BF38"/>
  <c r="BF37"/>
  <c r="A1401" i="11" l="1"/>
  <c r="A1367"/>
  <c r="A1333"/>
  <c r="A1299"/>
  <c r="A1265"/>
  <c r="A1231"/>
  <c r="A1197"/>
  <c r="A1163"/>
  <c r="A1129"/>
  <c r="A1095"/>
  <c r="A1061"/>
  <c r="A1027"/>
  <c r="A993"/>
  <c r="A959"/>
  <c r="A925"/>
  <c r="A891"/>
  <c r="BS44" i="3"/>
  <c r="BQ44"/>
  <c r="BR44"/>
  <c r="BP44"/>
  <c r="O44"/>
  <c r="P44"/>
  <c r="Q44"/>
  <c r="R44"/>
  <c r="T44"/>
  <c r="U44"/>
  <c r="V44"/>
  <c r="W44"/>
  <c r="AB44"/>
  <c r="AC44"/>
  <c r="AD44"/>
  <c r="AE44"/>
  <c r="AF44"/>
  <c r="AG44"/>
  <c r="AH44"/>
  <c r="AI44"/>
  <c r="N44"/>
  <c r="S4" l="1"/>
  <c r="X4"/>
  <c r="Y4"/>
  <c r="Z4"/>
  <c r="AL4" s="1"/>
  <c r="AQ4" s="1"/>
  <c r="AJ4"/>
  <c r="AM4"/>
  <c r="AR4" s="1"/>
  <c r="BT4"/>
  <c r="BU4"/>
  <c r="DD4"/>
  <c r="DH4"/>
  <c r="S5"/>
  <c r="X5"/>
  <c r="Y5"/>
  <c r="Z5"/>
  <c r="AJ5"/>
  <c r="AM5"/>
  <c r="AR5" s="1"/>
  <c r="BT5"/>
  <c r="BU5"/>
  <c r="DD5"/>
  <c r="DH5"/>
  <c r="S6"/>
  <c r="X6"/>
  <c r="Y6"/>
  <c r="AK6" s="1"/>
  <c r="AP6" s="1"/>
  <c r="Z6"/>
  <c r="AJ6"/>
  <c r="AM6"/>
  <c r="AR6" s="1"/>
  <c r="BT6"/>
  <c r="BU6"/>
  <c r="DD6"/>
  <c r="DH6"/>
  <c r="S7"/>
  <c r="X7"/>
  <c r="Y7"/>
  <c r="AK7" s="1"/>
  <c r="AP7" s="1"/>
  <c r="Z7"/>
  <c r="AL7" s="1"/>
  <c r="AJ7"/>
  <c r="AM7"/>
  <c r="AR7" s="1"/>
  <c r="BT7"/>
  <c r="BU7"/>
  <c r="DD7"/>
  <c r="DH7"/>
  <c r="S8"/>
  <c r="X8"/>
  <c r="Y8"/>
  <c r="AK8" s="1"/>
  <c r="AP8" s="1"/>
  <c r="Z8"/>
  <c r="AL8" s="1"/>
  <c r="AJ8"/>
  <c r="AM8"/>
  <c r="AR8" s="1"/>
  <c r="BT8"/>
  <c r="BU8"/>
  <c r="DD8"/>
  <c r="DH8"/>
  <c r="S9"/>
  <c r="X9"/>
  <c r="Y9"/>
  <c r="Z9"/>
  <c r="AJ9"/>
  <c r="AM9"/>
  <c r="AR9" s="1"/>
  <c r="BT9"/>
  <c r="BU9"/>
  <c r="DD9"/>
  <c r="DH9"/>
  <c r="S10"/>
  <c r="X10"/>
  <c r="Y10"/>
  <c r="AK10" s="1"/>
  <c r="AP10" s="1"/>
  <c r="Z10"/>
  <c r="AJ10"/>
  <c r="AM10"/>
  <c r="AR10" s="1"/>
  <c r="BT10"/>
  <c r="BU10"/>
  <c r="DD10"/>
  <c r="DH10"/>
  <c r="S11"/>
  <c r="X11"/>
  <c r="Y11"/>
  <c r="AK11" s="1"/>
  <c r="AP11" s="1"/>
  <c r="Z11"/>
  <c r="AJ11"/>
  <c r="AM11"/>
  <c r="AR11" s="1"/>
  <c r="BT11"/>
  <c r="BU11"/>
  <c r="DD11"/>
  <c r="DH11"/>
  <c r="S12"/>
  <c r="X12"/>
  <c r="Y12"/>
  <c r="Z12"/>
  <c r="AJ12"/>
  <c r="AM12"/>
  <c r="AR12" s="1"/>
  <c r="BT12"/>
  <c r="BU12"/>
  <c r="DD12"/>
  <c r="DH12"/>
  <c r="S13"/>
  <c r="X13"/>
  <c r="Y13"/>
  <c r="AK13" s="1"/>
  <c r="AP13" s="1"/>
  <c r="Z13"/>
  <c r="AJ13"/>
  <c r="AM13"/>
  <c r="AR13" s="1"/>
  <c r="BT13"/>
  <c r="BU13"/>
  <c r="DD13"/>
  <c r="DH13"/>
  <c r="X14"/>
  <c r="Y14"/>
  <c r="Z14"/>
  <c r="AJ14"/>
  <c r="AM14"/>
  <c r="AR14" s="1"/>
  <c r="BT14"/>
  <c r="BU14"/>
  <c r="DD14"/>
  <c r="DH14"/>
  <c r="S15"/>
  <c r="X15"/>
  <c r="Y15"/>
  <c r="AK15" s="1"/>
  <c r="AP15" s="1"/>
  <c r="Z15"/>
  <c r="AL15" s="1"/>
  <c r="AQ15" s="1"/>
  <c r="AJ15"/>
  <c r="AM15"/>
  <c r="AR15" s="1"/>
  <c r="BT15"/>
  <c r="BU15"/>
  <c r="DD15"/>
  <c r="DH15"/>
  <c r="S16"/>
  <c r="X16"/>
  <c r="Y16"/>
  <c r="AK16" s="1"/>
  <c r="AP16" s="1"/>
  <c r="Z16"/>
  <c r="AL16" s="1"/>
  <c r="AJ16"/>
  <c r="AM16"/>
  <c r="AR16" s="1"/>
  <c r="BT16"/>
  <c r="BU16"/>
  <c r="DD16"/>
  <c r="DH16"/>
  <c r="S17"/>
  <c r="X17"/>
  <c r="Y17"/>
  <c r="AK17" s="1"/>
  <c r="AP17" s="1"/>
  <c r="Z17"/>
  <c r="AL17" s="1"/>
  <c r="AQ17" s="1"/>
  <c r="AJ17"/>
  <c r="AM17"/>
  <c r="AR17" s="1"/>
  <c r="BT17"/>
  <c r="BU17"/>
  <c r="DD17"/>
  <c r="DH17"/>
  <c r="S18"/>
  <c r="X18"/>
  <c r="Y18"/>
  <c r="AK18" s="1"/>
  <c r="Z18"/>
  <c r="AJ18"/>
  <c r="AM18"/>
  <c r="AR18" s="1"/>
  <c r="BT18"/>
  <c r="BU18"/>
  <c r="DD18"/>
  <c r="DH18"/>
  <c r="S19"/>
  <c r="X19"/>
  <c r="Y19"/>
  <c r="AK19" s="1"/>
  <c r="AP19" s="1"/>
  <c r="Z19"/>
  <c r="AJ19"/>
  <c r="AM19"/>
  <c r="AR19" s="1"/>
  <c r="BT19"/>
  <c r="BU19"/>
  <c r="DD19"/>
  <c r="DH19"/>
  <c r="S20"/>
  <c r="X20"/>
  <c r="Y20"/>
  <c r="AK20" s="1"/>
  <c r="AP20" s="1"/>
  <c r="Z20"/>
  <c r="AJ20"/>
  <c r="AM20"/>
  <c r="AR20" s="1"/>
  <c r="BT20"/>
  <c r="BU20"/>
  <c r="DD20"/>
  <c r="DH20"/>
  <c r="S21"/>
  <c r="X21"/>
  <c r="Y21"/>
  <c r="AK21" s="1"/>
  <c r="AP21" s="1"/>
  <c r="Z21"/>
  <c r="AJ21"/>
  <c r="AM21"/>
  <c r="AR21" s="1"/>
  <c r="BT21"/>
  <c r="BU21"/>
  <c r="DD21"/>
  <c r="DH21"/>
  <c r="S22"/>
  <c r="X22"/>
  <c r="Y22"/>
  <c r="Z22"/>
  <c r="AL22" s="1"/>
  <c r="AQ22" s="1"/>
  <c r="AJ22"/>
  <c r="AM22"/>
  <c r="AR22" s="1"/>
  <c r="BT22"/>
  <c r="BU22"/>
  <c r="DD22"/>
  <c r="DH22"/>
  <c r="S23"/>
  <c r="X23"/>
  <c r="Y23"/>
  <c r="Z23"/>
  <c r="AJ23"/>
  <c r="AM23"/>
  <c r="AR23" s="1"/>
  <c r="BT23"/>
  <c r="BU23"/>
  <c r="DD23"/>
  <c r="DH23"/>
  <c r="S24"/>
  <c r="X24"/>
  <c r="Y24"/>
  <c r="AK24" s="1"/>
  <c r="AP24" s="1"/>
  <c r="Z24"/>
  <c r="AL24" s="1"/>
  <c r="AJ24"/>
  <c r="AM24"/>
  <c r="AR24" s="1"/>
  <c r="BT24"/>
  <c r="BU24"/>
  <c r="DD24"/>
  <c r="DH24"/>
  <c r="S25"/>
  <c r="X25"/>
  <c r="Y25"/>
  <c r="Z25"/>
  <c r="AJ25"/>
  <c r="AM25"/>
  <c r="AR25" s="1"/>
  <c r="BT25"/>
  <c r="BU25"/>
  <c r="DD25"/>
  <c r="DH25"/>
  <c r="S26"/>
  <c r="X26"/>
  <c r="Y26"/>
  <c r="Z26"/>
  <c r="AJ26"/>
  <c r="AM26"/>
  <c r="AR26" s="1"/>
  <c r="BT26"/>
  <c r="BU26"/>
  <c r="DD26"/>
  <c r="DH26"/>
  <c r="S27"/>
  <c r="X27"/>
  <c r="Y27"/>
  <c r="Z27"/>
  <c r="AJ27"/>
  <c r="AM27"/>
  <c r="AR27" s="1"/>
  <c r="BT27"/>
  <c r="BU27"/>
  <c r="DD27"/>
  <c r="DH27"/>
  <c r="S28"/>
  <c r="X28"/>
  <c r="Y28"/>
  <c r="Z28"/>
  <c r="AL28" s="1"/>
  <c r="AQ28" s="1"/>
  <c r="AJ28"/>
  <c r="AM28"/>
  <c r="AR28" s="1"/>
  <c r="BT28"/>
  <c r="BU28"/>
  <c r="DD28"/>
  <c r="DH28"/>
  <c r="S29"/>
  <c r="X29"/>
  <c r="Y29"/>
  <c r="Z29"/>
  <c r="AJ29"/>
  <c r="AM29"/>
  <c r="AR29" s="1"/>
  <c r="BT29"/>
  <c r="BU29"/>
  <c r="DD29"/>
  <c r="DH29"/>
  <c r="S30"/>
  <c r="X30"/>
  <c r="Y30"/>
  <c r="Z30"/>
  <c r="AJ30"/>
  <c r="AM30"/>
  <c r="AR30" s="1"/>
  <c r="BT30"/>
  <c r="BU30"/>
  <c r="DD30"/>
  <c r="DH30"/>
  <c r="S31"/>
  <c r="X31"/>
  <c r="Y31"/>
  <c r="Z31"/>
  <c r="AJ31"/>
  <c r="AM31"/>
  <c r="AR31" s="1"/>
  <c r="BT31"/>
  <c r="BU31"/>
  <c r="DD31"/>
  <c r="DH31"/>
  <c r="S32"/>
  <c r="X32"/>
  <c r="Y32"/>
  <c r="AK32" s="1"/>
  <c r="AP32" s="1"/>
  <c r="Z32"/>
  <c r="AL32" s="1"/>
  <c r="AJ32"/>
  <c r="AM32"/>
  <c r="AR32" s="1"/>
  <c r="BT32"/>
  <c r="BU32"/>
  <c r="DD32"/>
  <c r="DH32"/>
  <c r="S33"/>
  <c r="X33"/>
  <c r="Y33"/>
  <c r="Z33"/>
  <c r="AJ33"/>
  <c r="AM33"/>
  <c r="AR33" s="1"/>
  <c r="BT33"/>
  <c r="BU33"/>
  <c r="DD33"/>
  <c r="DH33"/>
  <c r="S34"/>
  <c r="X34"/>
  <c r="Y34"/>
  <c r="Z34"/>
  <c r="AL34" s="1"/>
  <c r="AQ34" s="1"/>
  <c r="AJ34"/>
  <c r="AM34"/>
  <c r="AR34" s="1"/>
  <c r="BT34"/>
  <c r="BU34"/>
  <c r="DD34"/>
  <c r="DH34"/>
  <c r="S35"/>
  <c r="X35"/>
  <c r="Y35"/>
  <c r="Z35"/>
  <c r="AJ35"/>
  <c r="AM35"/>
  <c r="AR35" s="1"/>
  <c r="BT35"/>
  <c r="BU35"/>
  <c r="DD35"/>
  <c r="DH35"/>
  <c r="S36"/>
  <c r="X36"/>
  <c r="Y36"/>
  <c r="AK36" s="1"/>
  <c r="AP36" s="1"/>
  <c r="Z36"/>
  <c r="AJ36"/>
  <c r="AM36"/>
  <c r="AR36" s="1"/>
  <c r="BT36"/>
  <c r="BU36"/>
  <c r="DD36"/>
  <c r="DH36"/>
  <c r="S37"/>
  <c r="X37"/>
  <c r="Y37"/>
  <c r="AK37" s="1"/>
  <c r="AP37" s="1"/>
  <c r="Z37"/>
  <c r="AL37" s="1"/>
  <c r="AJ37"/>
  <c r="AM37"/>
  <c r="AR37" s="1"/>
  <c r="BT37"/>
  <c r="BU37"/>
  <c r="DD37"/>
  <c r="DH37"/>
  <c r="S38"/>
  <c r="X38"/>
  <c r="Y38"/>
  <c r="Z38"/>
  <c r="AM38"/>
  <c r="BT38"/>
  <c r="BU38"/>
  <c r="DD38"/>
  <c r="DH38"/>
  <c r="S39"/>
  <c r="X39"/>
  <c r="Y39"/>
  <c r="AK39" s="1"/>
  <c r="Z39"/>
  <c r="AM39"/>
  <c r="BT39"/>
  <c r="BU39"/>
  <c r="DD39"/>
  <c r="DH39"/>
  <c r="S40"/>
  <c r="X40"/>
  <c r="Y40"/>
  <c r="Z40"/>
  <c r="AJ40"/>
  <c r="AM40"/>
  <c r="AR40" s="1"/>
  <c r="BT40"/>
  <c r="BU40"/>
  <c r="DD40"/>
  <c r="DH40"/>
  <c r="S41"/>
  <c r="X41"/>
  <c r="Y41"/>
  <c r="Z41"/>
  <c r="AL41" s="1"/>
  <c r="AQ41" s="1"/>
  <c r="AJ41"/>
  <c r="AM41"/>
  <c r="AR41" s="1"/>
  <c r="BT41"/>
  <c r="BU41"/>
  <c r="DD41"/>
  <c r="DH41"/>
  <c r="AA12" l="1"/>
  <c r="DE12" s="1"/>
  <c r="AA41"/>
  <c r="DE41" s="1"/>
  <c r="AA9"/>
  <c r="AN9" s="1"/>
  <c r="AS9" s="1"/>
  <c r="AA30"/>
  <c r="AN30" s="1"/>
  <c r="AA27"/>
  <c r="AN27" s="1"/>
  <c r="AA40"/>
  <c r="AN40" s="1"/>
  <c r="AA28"/>
  <c r="DE28" s="1"/>
  <c r="AA22"/>
  <c r="AN22" s="1"/>
  <c r="AS22" s="1"/>
  <c r="AA13"/>
  <c r="AN13" s="1"/>
  <c r="AA33"/>
  <c r="AN33" s="1"/>
  <c r="AA29"/>
  <c r="DE29" s="1"/>
  <c r="AA26"/>
  <c r="DE26" s="1"/>
  <c r="AA23"/>
  <c r="AN23" s="1"/>
  <c r="AA5"/>
  <c r="DE5" s="1"/>
  <c r="AA35"/>
  <c r="AN35" s="1"/>
  <c r="AA34"/>
  <c r="AN34" s="1"/>
  <c r="AA31"/>
  <c r="AN31" s="1"/>
  <c r="AA25"/>
  <c r="DE25" s="1"/>
  <c r="AK22"/>
  <c r="AA14"/>
  <c r="DE14" s="1"/>
  <c r="AK40"/>
  <c r="AA39"/>
  <c r="AN39" s="1"/>
  <c r="AA38"/>
  <c r="DE38" s="1"/>
  <c r="AK9"/>
  <c r="AP9" s="1"/>
  <c r="AK34"/>
  <c r="AP34" s="1"/>
  <c r="AK30"/>
  <c r="AK29"/>
  <c r="AP29" s="1"/>
  <c r="AK27"/>
  <c r="AP27" s="1"/>
  <c r="AK35"/>
  <c r="AP35" s="1"/>
  <c r="AK33"/>
  <c r="AP33" s="1"/>
  <c r="AK25"/>
  <c r="AP25" s="1"/>
  <c r="AK14"/>
  <c r="AP14" s="1"/>
  <c r="AA36"/>
  <c r="AN36" s="1"/>
  <c r="AA32"/>
  <c r="DE32" s="1"/>
  <c r="AA24"/>
  <c r="AN24" s="1"/>
  <c r="AO24" s="1"/>
  <c r="F30" i="11" s="1"/>
  <c r="AA20" i="3"/>
  <c r="AN20" s="1"/>
  <c r="AA18"/>
  <c r="DE18" s="1"/>
  <c r="AA16"/>
  <c r="DE16" s="1"/>
  <c r="AA10"/>
  <c r="AN10" s="1"/>
  <c r="AA8"/>
  <c r="DE8" s="1"/>
  <c r="AA6"/>
  <c r="AN6" s="1"/>
  <c r="AA37"/>
  <c r="DE37" s="1"/>
  <c r="AA21"/>
  <c r="DE21" s="1"/>
  <c r="AA19"/>
  <c r="DE19" s="1"/>
  <c r="AA17"/>
  <c r="DE17" s="1"/>
  <c r="AA15"/>
  <c r="AN15" s="1"/>
  <c r="AS15" s="1"/>
  <c r="AA11"/>
  <c r="DE11" s="1"/>
  <c r="AA7"/>
  <c r="DE7" s="1"/>
  <c r="AA4"/>
  <c r="AN4" s="1"/>
  <c r="AL31"/>
  <c r="AQ31" s="1"/>
  <c r="AL23"/>
  <c r="AQ23" s="1"/>
  <c r="AP18"/>
  <c r="AL19"/>
  <c r="AL38"/>
  <c r="AL36"/>
  <c r="AQ36" s="1"/>
  <c r="AL26"/>
  <c r="AQ26" s="1"/>
  <c r="AL21"/>
  <c r="AQ21" s="1"/>
  <c r="AL18"/>
  <c r="AQ18" s="1"/>
  <c r="AL14"/>
  <c r="AQ14" s="1"/>
  <c r="S14"/>
  <c r="AL12"/>
  <c r="AQ12" s="1"/>
  <c r="AL9"/>
  <c r="AQ9" s="1"/>
  <c r="AL6"/>
  <c r="AQ6" s="1"/>
  <c r="AL5"/>
  <c r="AQ5" s="1"/>
  <c r="AP39"/>
  <c r="DE27"/>
  <c r="AR39"/>
  <c r="AR38"/>
  <c r="AQ8"/>
  <c r="AK41"/>
  <c r="AL40"/>
  <c r="AK38"/>
  <c r="AQ37"/>
  <c r="AL35"/>
  <c r="AQ35" s="1"/>
  <c r="AL33"/>
  <c r="AQ32"/>
  <c r="AK31"/>
  <c r="AL30"/>
  <c r="AL29"/>
  <c r="AK28"/>
  <c r="AL27"/>
  <c r="AK26"/>
  <c r="AL25"/>
  <c r="AQ24"/>
  <c r="AK23"/>
  <c r="AL20"/>
  <c r="AQ16"/>
  <c r="AL13"/>
  <c r="AK12"/>
  <c r="AL11"/>
  <c r="AL10"/>
  <c r="AQ7"/>
  <c r="AK5"/>
  <c r="AK4"/>
  <c r="AH20" i="6"/>
  <c r="AH19"/>
  <c r="BF43"/>
  <c r="BF42"/>
  <c r="BF41"/>
  <c r="BE42"/>
  <c r="BF47"/>
  <c r="BF46"/>
  <c r="BF45"/>
  <c r="BE45"/>
  <c r="BE46"/>
  <c r="BE47"/>
  <c r="BF44"/>
  <c r="BE44"/>
  <c r="BJ51"/>
  <c r="BJ50"/>
  <c r="BJ49"/>
  <c r="BI51"/>
  <c r="BI50"/>
  <c r="BI49"/>
  <c r="DE9" i="3" l="1"/>
  <c r="AN32"/>
  <c r="AO32" s="1"/>
  <c r="F38" i="11" s="1"/>
  <c r="AN16" i="3"/>
  <c r="AO16" s="1"/>
  <c r="F22" i="11" s="1"/>
  <c r="AN29" i="3"/>
  <c r="AS29" s="1"/>
  <c r="DE30"/>
  <c r="AN11"/>
  <c r="AN12"/>
  <c r="AS12" s="1"/>
  <c r="DE40"/>
  <c r="AN17"/>
  <c r="DE10"/>
  <c r="AN26"/>
  <c r="AS26" s="1"/>
  <c r="AN21"/>
  <c r="AO21" s="1"/>
  <c r="F27" i="11" s="1"/>
  <c r="AN14" i="3"/>
  <c r="AO14" s="1"/>
  <c r="F20" i="11" s="1"/>
  <c r="AN41" i="3"/>
  <c r="AS41" s="1"/>
  <c r="DE22"/>
  <c r="DE34"/>
  <c r="AS34" s="1"/>
  <c r="AT34" s="1"/>
  <c r="AN19"/>
  <c r="AS19" s="1"/>
  <c r="AO34"/>
  <c r="F40" i="11" s="1"/>
  <c r="AN5" i="3"/>
  <c r="AO5" s="1"/>
  <c r="F11" i="11" s="1"/>
  <c r="DE24" i="3"/>
  <c r="DE33"/>
  <c r="DE23"/>
  <c r="AO9"/>
  <c r="F15" i="11" s="1"/>
  <c r="DE13" i="3"/>
  <c r="AN25"/>
  <c r="AO25" s="1"/>
  <c r="F31" i="11" s="1"/>
  <c r="AO6" i="3"/>
  <c r="F12" i="11" s="1"/>
  <c r="AO22" i="3"/>
  <c r="F28" i="11" s="1"/>
  <c r="DE36" i="3"/>
  <c r="DE20"/>
  <c r="AN37"/>
  <c r="AO37" s="1"/>
  <c r="F43" i="11" s="1"/>
  <c r="DE6" i="3"/>
  <c r="DE39"/>
  <c r="AN18"/>
  <c r="AS18" s="1"/>
  <c r="DE35"/>
  <c r="AO15"/>
  <c r="F21" i="11" s="1"/>
  <c r="AN28" i="3"/>
  <c r="AO28" s="1"/>
  <c r="F34" i="11" s="1"/>
  <c r="AS35" i="3"/>
  <c r="AT35" s="1"/>
  <c r="DE31"/>
  <c r="AP30"/>
  <c r="AP40"/>
  <c r="AP22"/>
  <c r="AT22" s="1"/>
  <c r="DE15"/>
  <c r="DE4"/>
  <c r="AQ19"/>
  <c r="AQ38"/>
  <c r="AJ38"/>
  <c r="AN38"/>
  <c r="AO38" s="1"/>
  <c r="F44" i="11" s="1"/>
  <c r="AN7" i="3"/>
  <c r="AP5"/>
  <c r="AN8"/>
  <c r="AO11"/>
  <c r="F17" i="11" s="1"/>
  <c r="AQ11" i="3"/>
  <c r="AP12"/>
  <c r="AO13"/>
  <c r="F19" i="11" s="1"/>
  <c r="AQ13" i="3"/>
  <c r="AO20"/>
  <c r="F26" i="11" s="1"/>
  <c r="AQ20" i="3"/>
  <c r="AQ25"/>
  <c r="AP26"/>
  <c r="AO27"/>
  <c r="F33" i="11" s="1"/>
  <c r="AQ27" i="3"/>
  <c r="AP28"/>
  <c r="AO29"/>
  <c r="F35" i="11" s="1"/>
  <c r="AQ29" i="3"/>
  <c r="AO30"/>
  <c r="F36" i="11" s="1"/>
  <c r="AQ30" i="3"/>
  <c r="AO33"/>
  <c r="F39" i="11" s="1"/>
  <c r="AQ33" i="3"/>
  <c r="AJ39"/>
  <c r="AL39"/>
  <c r="AO40"/>
  <c r="F46" i="11" s="1"/>
  <c r="AQ40" i="3"/>
  <c r="AS4"/>
  <c r="AS11"/>
  <c r="AS13"/>
  <c r="AS30"/>
  <c r="AS39"/>
  <c r="AS23"/>
  <c r="AS27"/>
  <c r="AS40"/>
  <c r="AP4"/>
  <c r="AO4"/>
  <c r="F10" i="11" s="1"/>
  <c r="AO10" i="3"/>
  <c r="F16" i="11" s="1"/>
  <c r="AQ10" i="3"/>
  <c r="AO23"/>
  <c r="F29" i="11" s="1"/>
  <c r="AP23" i="3"/>
  <c r="AO31"/>
  <c r="F37" i="11" s="1"/>
  <c r="AP31" i="3"/>
  <c r="AO35"/>
  <c r="F41" i="11" s="1"/>
  <c r="AP38" i="3"/>
  <c r="AP41"/>
  <c r="AS6"/>
  <c r="AT9"/>
  <c r="AS10"/>
  <c r="AT15"/>
  <c r="AS24"/>
  <c r="AS31"/>
  <c r="AS33"/>
  <c r="AS36"/>
  <c r="AS20"/>
  <c r="AS32"/>
  <c r="AO36"/>
  <c r="F42" i="11" s="1"/>
  <c r="BI26" i="6"/>
  <c r="BJ26"/>
  <c r="BI27"/>
  <c r="BJ27"/>
  <c r="BI28"/>
  <c r="BJ28"/>
  <c r="BI29"/>
  <c r="BJ29"/>
  <c r="BI30"/>
  <c r="BJ30"/>
  <c r="BI31"/>
  <c r="BJ31"/>
  <c r="BI32"/>
  <c r="BJ32"/>
  <c r="BI33"/>
  <c r="BJ33"/>
  <c r="BI34"/>
  <c r="BJ34"/>
  <c r="BI35"/>
  <c r="BJ35"/>
  <c r="BI36"/>
  <c r="BJ36"/>
  <c r="BI41"/>
  <c r="BJ41"/>
  <c r="BI42"/>
  <c r="BJ42"/>
  <c r="BI43"/>
  <c r="BJ43"/>
  <c r="BI44"/>
  <c r="BJ44"/>
  <c r="BI45"/>
  <c r="BJ45"/>
  <c r="BI46"/>
  <c r="BJ46"/>
  <c r="BI47"/>
  <c r="BJ47"/>
  <c r="BI48"/>
  <c r="BJ48"/>
  <c r="BJ25"/>
  <c r="BI25"/>
  <c r="AO12" i="3" l="1"/>
  <c r="F18" i="11" s="1"/>
  <c r="AS16" i="3"/>
  <c r="AT16" s="1"/>
  <c r="AO18"/>
  <c r="F24" i="11" s="1"/>
  <c r="AT19" i="3"/>
  <c r="AO41"/>
  <c r="F47" i="11" s="1"/>
  <c r="AS25" i="3"/>
  <c r="AT25" s="1"/>
  <c r="AO19"/>
  <c r="F25" i="11" s="1"/>
  <c r="AO26" i="3"/>
  <c r="F32" i="11" s="1"/>
  <c r="AS28" i="3"/>
  <c r="AT28" s="1"/>
  <c r="AS14"/>
  <c r="AT14" s="1"/>
  <c r="AS5"/>
  <c r="AT5" s="1"/>
  <c r="AS21"/>
  <c r="AT21" s="1"/>
  <c r="AO17"/>
  <c r="F23" i="11" s="1"/>
  <c r="AS17" i="3"/>
  <c r="AT17" s="1"/>
  <c r="AS37"/>
  <c r="AT37" s="1"/>
  <c r="AS38"/>
  <c r="AT38" s="1"/>
  <c r="AT6"/>
  <c r="AT18"/>
  <c r="AO7"/>
  <c r="F13" i="11" s="1"/>
  <c r="AS7" i="3"/>
  <c r="AT36"/>
  <c r="AT31"/>
  <c r="AT41"/>
  <c r="AT32"/>
  <c r="AT24"/>
  <c r="AT10"/>
  <c r="AT4"/>
  <c r="AT33"/>
  <c r="AT29"/>
  <c r="AT27"/>
  <c r="AT12"/>
  <c r="AS8"/>
  <c r="AO8"/>
  <c r="F14" i="11" s="1"/>
  <c r="AT23" i="3"/>
  <c r="AT40"/>
  <c r="AQ39"/>
  <c r="AO39"/>
  <c r="F45" i="11" s="1"/>
  <c r="AT30" i="3"/>
  <c r="AT26"/>
  <c r="AT20"/>
  <c r="AT13"/>
  <c r="AT11"/>
  <c r="BH52" i="6"/>
  <c r="BG52"/>
  <c r="BH51"/>
  <c r="BH50"/>
  <c r="BH49"/>
  <c r="BG51"/>
  <c r="BG50"/>
  <c r="BG49"/>
  <c r="AT7" i="3" l="1"/>
  <c r="AT39"/>
  <c r="AT8"/>
  <c r="BF31" i="6"/>
  <c r="BF30"/>
  <c r="BF29"/>
  <c r="BF28"/>
  <c r="BF27"/>
  <c r="BF26"/>
  <c r="BF36"/>
  <c r="BF35"/>
  <c r="BF34"/>
  <c r="BF33"/>
  <c r="BF25"/>
  <c r="BE25"/>
  <c r="BE26"/>
  <c r="BE27"/>
  <c r="BE28"/>
  <c r="BE29"/>
  <c r="BE30"/>
  <c r="BE31"/>
  <c r="BE36"/>
  <c r="BE35"/>
  <c r="BE34"/>
  <c r="BE33"/>
  <c r="BF32"/>
  <c r="BE32"/>
  <c r="G141" i="11" l="1"/>
  <c r="G107"/>
  <c r="G73"/>
  <c r="J75" l="1"/>
  <c r="J74"/>
  <c r="J73"/>
  <c r="J72"/>
  <c r="J64"/>
  <c r="J43"/>
  <c r="J44"/>
  <c r="J45"/>
  <c r="J46"/>
  <c r="J47"/>
  <c r="J48"/>
  <c r="J49"/>
  <c r="J50"/>
  <c r="J51"/>
  <c r="J52"/>
  <c r="J53"/>
  <c r="J54"/>
  <c r="J55"/>
  <c r="J56"/>
  <c r="J57"/>
  <c r="J58"/>
  <c r="J59"/>
  <c r="J42"/>
  <c r="A857"/>
  <c r="A823"/>
  <c r="A789"/>
  <c r="A755"/>
  <c r="A721"/>
  <c r="A687"/>
  <c r="A653"/>
  <c r="A619"/>
  <c r="A585"/>
  <c r="A551"/>
  <c r="A517"/>
  <c r="A483"/>
  <c r="A449"/>
  <c r="A415"/>
  <c r="A381"/>
  <c r="A347"/>
  <c r="A313"/>
  <c r="A279"/>
  <c r="A245"/>
  <c r="A211"/>
  <c r="A177"/>
  <c r="A143"/>
  <c r="A109"/>
  <c r="A75"/>
  <c r="A41"/>
  <c r="G39"/>
  <c r="I12"/>
  <c r="AT10" i="6" l="1"/>
  <c r="AT11"/>
  <c r="AT12"/>
  <c r="AT13"/>
  <c r="AT14"/>
  <c r="AT15"/>
  <c r="AT16"/>
  <c r="AT17"/>
  <c r="AT18"/>
  <c r="AT19"/>
  <c r="DH43" i="3"/>
  <c r="DD43"/>
  <c r="BU43"/>
  <c r="BT43"/>
  <c r="AM43"/>
  <c r="Z43"/>
  <c r="AL43" s="1"/>
  <c r="Y43"/>
  <c r="X43"/>
  <c r="S43"/>
  <c r="DH42"/>
  <c r="DD42"/>
  <c r="BU42"/>
  <c r="BT42"/>
  <c r="AM42"/>
  <c r="Z42"/>
  <c r="AL42" s="1"/>
  <c r="AQ42" s="1"/>
  <c r="Y42"/>
  <c r="X42"/>
  <c r="S42"/>
  <c r="AF23" i="6"/>
  <c r="AF25"/>
  <c r="AF24"/>
  <c r="AR4"/>
  <c r="AR40" s="1"/>
  <c r="AP4"/>
  <c r="AP39" s="1"/>
  <c r="AP56" s="1"/>
  <c r="AM4"/>
  <c r="AM27" s="1"/>
  <c r="AK4"/>
  <c r="AK16" s="1"/>
  <c r="AP12"/>
  <c r="AP22"/>
  <c r="AP20"/>
  <c r="AP28"/>
  <c r="AR30"/>
  <c r="AR11"/>
  <c r="AR14"/>
  <c r="AR6"/>
  <c r="AP16"/>
  <c r="AP21"/>
  <c r="AR5"/>
  <c r="AR26"/>
  <c r="AP8"/>
  <c r="AP24"/>
  <c r="AP29"/>
  <c r="AR13"/>
  <c r="AR34"/>
  <c r="AK37"/>
  <c r="AK40"/>
  <c r="AK29"/>
  <c r="AK33"/>
  <c r="AK30"/>
  <c r="AK34"/>
  <c r="AK17"/>
  <c r="AK25"/>
  <c r="AK31"/>
  <c r="AK35"/>
  <c r="AR20"/>
  <c r="AR36"/>
  <c r="AP7"/>
  <c r="AP11"/>
  <c r="AP23"/>
  <c r="AP27"/>
  <c r="AP35"/>
  <c r="AP66"/>
  <c r="AP50"/>
  <c r="AP55"/>
  <c r="AP63"/>
  <c r="AP67"/>
  <c r="C25"/>
  <c r="C26"/>
  <c r="V4"/>
  <c r="V8" s="1"/>
  <c r="V39" s="1"/>
  <c r="R4"/>
  <c r="R21" s="1"/>
  <c r="R52" s="1"/>
  <c r="R13"/>
  <c r="R44" s="1"/>
  <c r="R29"/>
  <c r="R60" s="1"/>
  <c r="R19"/>
  <c r="R50" s="1"/>
  <c r="R27"/>
  <c r="R58" s="1"/>
  <c r="V20"/>
  <c r="V51" s="1"/>
  <c r="V11"/>
  <c r="V42" s="1"/>
  <c r="V31"/>
  <c r="V62" s="1"/>
  <c r="N4"/>
  <c r="J4"/>
  <c r="J22" s="1"/>
  <c r="J53" s="1"/>
  <c r="F4"/>
  <c r="F8" s="1"/>
  <c r="F39" s="1"/>
  <c r="Y51"/>
  <c r="Z31"/>
  <c r="Z30"/>
  <c r="Y50"/>
  <c r="Y44"/>
  <c r="Y49"/>
  <c r="Y48"/>
  <c r="Y47"/>
  <c r="Y46"/>
  <c r="Y45"/>
  <c r="Z29"/>
  <c r="Z28"/>
  <c r="Z27"/>
  <c r="Z16"/>
  <c r="Z25" s="1"/>
  <c r="Z17"/>
  <c r="Z26" s="1"/>
  <c r="Z15"/>
  <c r="Z24" s="1"/>
  <c r="X24"/>
  <c r="AC4"/>
  <c r="AC20" s="1"/>
  <c r="AC51" s="1"/>
  <c r="AC27"/>
  <c r="AC58" s="1"/>
  <c r="X29"/>
  <c r="X27"/>
  <c r="X26"/>
  <c r="X25"/>
  <c r="Y24"/>
  <c r="Y25"/>
  <c r="Y26"/>
  <c r="Y27"/>
  <c r="X28"/>
  <c r="Y28"/>
  <c r="B3" i="3"/>
  <c r="C3" s="1"/>
  <c r="D3" s="1"/>
  <c r="E3" s="1"/>
  <c r="F3" s="1"/>
  <c r="G3" s="1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D3" s="1"/>
  <c r="AE3" s="1"/>
  <c r="AF3" s="1"/>
  <c r="AG3" s="1"/>
  <c r="AH3" s="1"/>
  <c r="AI3" s="1"/>
  <c r="AJ3" s="1"/>
  <c r="AK3" s="1"/>
  <c r="AL3" s="1"/>
  <c r="AM3" s="1"/>
  <c r="AN3" s="1"/>
  <c r="AO3" s="1"/>
  <c r="AP3" s="1"/>
  <c r="AQ3" s="1"/>
  <c r="AR3" s="1"/>
  <c r="AS3" s="1"/>
  <c r="AT3" s="1"/>
  <c r="AU3" s="1"/>
  <c r="AV3" s="1"/>
  <c r="AW3" s="1"/>
  <c r="AX3" s="1"/>
  <c r="AY3" s="1"/>
  <c r="AZ3" s="1"/>
  <c r="BA3" s="1"/>
  <c r="BB3" s="1"/>
  <c r="BC3" s="1"/>
  <c r="BD3" s="1"/>
  <c r="BE3" s="1"/>
  <c r="BF3" s="1"/>
  <c r="BG3" s="1"/>
  <c r="BH3" s="1"/>
  <c r="BI3" s="1"/>
  <c r="BJ3" s="1"/>
  <c r="BK3" s="1"/>
  <c r="BL3" s="1"/>
  <c r="BM3" s="1"/>
  <c r="BN3" s="1"/>
  <c r="BO3" s="1"/>
  <c r="BP3" s="1"/>
  <c r="BQ3" s="1"/>
  <c r="BR3" s="1"/>
  <c r="BS3" s="1"/>
  <c r="BT3" s="1"/>
  <c r="BU3" s="1"/>
  <c r="BV3" s="1"/>
  <c r="BW3" s="1"/>
  <c r="BX3" s="1"/>
  <c r="BY3" s="1"/>
  <c r="J32" i="6"/>
  <c r="J63" s="1"/>
  <c r="J9"/>
  <c r="J40" s="1"/>
  <c r="J21"/>
  <c r="J52" s="1"/>
  <c r="J24"/>
  <c r="J55" s="1"/>
  <c r="J20"/>
  <c r="J51" s="1"/>
  <c r="F6"/>
  <c r="F37" s="1"/>
  <c r="AC28"/>
  <c r="AC59" s="1"/>
  <c r="AC14"/>
  <c r="AC45" s="1"/>
  <c r="AC6"/>
  <c r="AC37" s="1"/>
  <c r="AC26"/>
  <c r="AC57" s="1"/>
  <c r="AC22"/>
  <c r="AC53" s="1"/>
  <c r="AC10"/>
  <c r="AC41" s="1"/>
  <c r="AC33"/>
  <c r="AC64" s="1"/>
  <c r="AC32"/>
  <c r="AC63" s="1"/>
  <c r="AC35"/>
  <c r="AC30"/>
  <c r="AC61" s="1"/>
  <c r="AC34"/>
  <c r="AC19"/>
  <c r="AC50"/>
  <c r="AC15"/>
  <c r="AC46" s="1"/>
  <c r="AC7"/>
  <c r="AC38" s="1"/>
  <c r="AC16"/>
  <c r="AC47" s="1"/>
  <c r="AC12"/>
  <c r="AC43" s="1"/>
  <c r="AC31"/>
  <c r="AC62" s="1"/>
  <c r="AC25"/>
  <c r="AC56" s="1"/>
  <c r="AC17"/>
  <c r="AC48" s="1"/>
  <c r="AC13"/>
  <c r="AC44" s="1"/>
  <c r="AC9"/>
  <c r="AC40" s="1"/>
  <c r="F9" l="1"/>
  <c r="F40" s="1"/>
  <c r="V19"/>
  <c r="V50" s="1"/>
  <c r="V34"/>
  <c r="R20"/>
  <c r="R51" s="1"/>
  <c r="R17"/>
  <c r="R48" s="1"/>
  <c r="R10"/>
  <c r="R41" s="1"/>
  <c r="AP65"/>
  <c r="AP19"/>
  <c r="AK15"/>
  <c r="AK12"/>
  <c r="AK14"/>
  <c r="AK32"/>
  <c r="AM38"/>
  <c r="AP37"/>
  <c r="AP36"/>
  <c r="AK39"/>
  <c r="AK61" s="1"/>
  <c r="F20"/>
  <c r="F51" s="1"/>
  <c r="V33"/>
  <c r="V17"/>
  <c r="V48" s="1"/>
  <c r="V22"/>
  <c r="V53" s="1"/>
  <c r="AM5"/>
  <c r="AM33"/>
  <c r="AM37"/>
  <c r="F7"/>
  <c r="F38" s="1"/>
  <c r="X32"/>
  <c r="V27"/>
  <c r="V58" s="1"/>
  <c r="V5"/>
  <c r="V36" s="1"/>
  <c r="V6"/>
  <c r="V37" s="1"/>
  <c r="R11"/>
  <c r="R42" s="1"/>
  <c r="R26"/>
  <c r="R57" s="1"/>
  <c r="AK19"/>
  <c r="AK24"/>
  <c r="AK18"/>
  <c r="AK5"/>
  <c r="AM24"/>
  <c r="AM39"/>
  <c r="AC88"/>
  <c r="AC95"/>
  <c r="AC93"/>
  <c r="F18"/>
  <c r="F49" s="1"/>
  <c r="F13"/>
  <c r="F44" s="1"/>
  <c r="F17"/>
  <c r="F48" s="1"/>
  <c r="F19"/>
  <c r="F50" s="1"/>
  <c r="V14"/>
  <c r="V45" s="1"/>
  <c r="AM26"/>
  <c r="AM20"/>
  <c r="AM9"/>
  <c r="AM15"/>
  <c r="BZ3" i="3"/>
  <c r="CA3" s="1"/>
  <c r="CB3" s="1"/>
  <c r="CC3" s="1"/>
  <c r="CD3" s="1"/>
  <c r="CE3" s="1"/>
  <c r="CF3" s="1"/>
  <c r="CG3" s="1"/>
  <c r="CH3" s="1"/>
  <c r="CI3" s="1"/>
  <c r="CJ3" s="1"/>
  <c r="CK3" s="1"/>
  <c r="CL3" s="1"/>
  <c r="CM3" s="1"/>
  <c r="CN3" s="1"/>
  <c r="CO3" s="1"/>
  <c r="CP3" s="1"/>
  <c r="CQ3" s="1"/>
  <c r="CR3" s="1"/>
  <c r="CS3" s="1"/>
  <c r="CT3" s="1"/>
  <c r="CU3" s="1"/>
  <c r="CV3" s="1"/>
  <c r="CW3" s="1"/>
  <c r="CX3" s="1"/>
  <c r="CY3" s="1"/>
  <c r="CZ3" s="1"/>
  <c r="DA3" s="1"/>
  <c r="DB3" s="1"/>
  <c r="DC3" s="1"/>
  <c r="DD3" s="1"/>
  <c r="DE3" s="1"/>
  <c r="DF3" s="1"/>
  <c r="DG3" s="1"/>
  <c r="DH3" s="1"/>
  <c r="DI3" s="1"/>
  <c r="DJ3" s="1"/>
  <c r="DK3" s="1"/>
  <c r="AC5" i="6"/>
  <c r="AC36" s="1"/>
  <c r="AC21"/>
  <c r="AC52" s="1"/>
  <c r="AC8"/>
  <c r="AC39" s="1"/>
  <c r="AC11"/>
  <c r="AC42" s="1"/>
  <c r="AC23"/>
  <c r="AC54" s="1"/>
  <c r="AC18"/>
  <c r="AC49" s="1"/>
  <c r="AC29"/>
  <c r="AC60" s="1"/>
  <c r="AC24"/>
  <c r="AC55" s="1"/>
  <c r="F32"/>
  <c r="F63" s="1"/>
  <c r="F11"/>
  <c r="F42" s="1"/>
  <c r="F31"/>
  <c r="F62" s="1"/>
  <c r="F15"/>
  <c r="F46" s="1"/>
  <c r="Z33"/>
  <c r="V25"/>
  <c r="V56" s="1"/>
  <c r="V88" s="1"/>
  <c r="V9"/>
  <c r="V40" s="1"/>
  <c r="V28"/>
  <c r="V59" s="1"/>
  <c r="V12"/>
  <c r="V43" s="1"/>
  <c r="R12"/>
  <c r="R43" s="1"/>
  <c r="R7"/>
  <c r="R38" s="1"/>
  <c r="R34"/>
  <c r="V35"/>
  <c r="AM65"/>
  <c r="AK52"/>
  <c r="AM22"/>
  <c r="AM40"/>
  <c r="AM8"/>
  <c r="AM21"/>
  <c r="AM6"/>
  <c r="AP38"/>
  <c r="AP9"/>
  <c r="F35"/>
  <c r="F34"/>
  <c r="F12"/>
  <c r="F43" s="1"/>
  <c r="F30"/>
  <c r="F61" s="1"/>
  <c r="F24"/>
  <c r="F55" s="1"/>
  <c r="F23"/>
  <c r="F54" s="1"/>
  <c r="Y30"/>
  <c r="AM63"/>
  <c r="AM10"/>
  <c r="AM36"/>
  <c r="AM7"/>
  <c r="V71"/>
  <c r="V67"/>
  <c r="V75"/>
  <c r="V78"/>
  <c r="V81"/>
  <c r="V74"/>
  <c r="V66"/>
  <c r="AC77"/>
  <c r="AC79"/>
  <c r="AR32"/>
  <c r="AR16"/>
  <c r="AK45"/>
  <c r="AR29"/>
  <c r="AR7"/>
  <c r="AR21"/>
  <c r="AR38"/>
  <c r="AC89"/>
  <c r="AC66"/>
  <c r="AC70"/>
  <c r="V29"/>
  <c r="V60" s="1"/>
  <c r="V23"/>
  <c r="V54" s="1"/>
  <c r="V15"/>
  <c r="V46" s="1"/>
  <c r="V7"/>
  <c r="V38" s="1"/>
  <c r="V32"/>
  <c r="V63" s="1"/>
  <c r="V26"/>
  <c r="V57" s="1"/>
  <c r="V18"/>
  <c r="V49" s="1"/>
  <c r="V10"/>
  <c r="V41" s="1"/>
  <c r="AM49"/>
  <c r="AR28"/>
  <c r="AR12"/>
  <c r="AK27"/>
  <c r="AF27" s="1"/>
  <c r="AK11"/>
  <c r="AK9"/>
  <c r="AK26"/>
  <c r="AK10"/>
  <c r="AK21"/>
  <c r="AK20"/>
  <c r="AK28"/>
  <c r="AR23"/>
  <c r="AM34"/>
  <c r="AM18"/>
  <c r="AR37"/>
  <c r="AR15"/>
  <c r="AM32"/>
  <c r="AM16"/>
  <c r="AR27"/>
  <c r="AM25"/>
  <c r="AR35"/>
  <c r="AM31"/>
  <c r="AR33"/>
  <c r="AM29"/>
  <c r="AM35"/>
  <c r="AM19"/>
  <c r="AT21"/>
  <c r="AC71"/>
  <c r="AC65"/>
  <c r="AC67"/>
  <c r="AC73"/>
  <c r="AC83"/>
  <c r="AC68"/>
  <c r="AC91"/>
  <c r="AC72"/>
  <c r="AC74"/>
  <c r="AC84"/>
  <c r="F14"/>
  <c r="F45" s="1"/>
  <c r="V21"/>
  <c r="V52" s="1"/>
  <c r="V13"/>
  <c r="V44" s="1"/>
  <c r="V30"/>
  <c r="V61" s="1"/>
  <c r="V24"/>
  <c r="V55" s="1"/>
  <c r="V16"/>
  <c r="V47" s="1"/>
  <c r="AM57"/>
  <c r="AR24"/>
  <c r="AR8"/>
  <c r="AK23"/>
  <c r="AK7"/>
  <c r="AK36"/>
  <c r="AK38"/>
  <c r="AK22"/>
  <c r="AK6"/>
  <c r="AK13"/>
  <c r="AK8"/>
  <c r="AR39"/>
  <c r="AR57" s="1"/>
  <c r="AR18"/>
  <c r="AM30"/>
  <c r="AM14"/>
  <c r="AR31"/>
  <c r="AR10"/>
  <c r="AM28"/>
  <c r="AF28" s="1"/>
  <c r="AM12"/>
  <c r="AR17"/>
  <c r="AM17"/>
  <c r="AR25"/>
  <c r="AM23"/>
  <c r="AR22"/>
  <c r="AM13"/>
  <c r="AR19"/>
  <c r="AR9"/>
  <c r="AM11"/>
  <c r="Z32"/>
  <c r="Y54"/>
  <c r="AM56"/>
  <c r="AM67"/>
  <c r="AM68"/>
  <c r="AM85" s="1"/>
  <c r="AM58"/>
  <c r="AM51"/>
  <c r="AR54"/>
  <c r="AM45"/>
  <c r="AM66"/>
  <c r="AM46"/>
  <c r="AM62"/>
  <c r="AM47"/>
  <c r="AM42"/>
  <c r="AM59"/>
  <c r="AM53"/>
  <c r="AM43"/>
  <c r="AM61"/>
  <c r="AM54"/>
  <c r="AR42"/>
  <c r="AA43" i="3"/>
  <c r="DE43" s="1"/>
  <c r="N18" i="6"/>
  <c r="N49" s="1"/>
  <c r="N27"/>
  <c r="N58" s="1"/>
  <c r="N32"/>
  <c r="N63" s="1"/>
  <c r="N17"/>
  <c r="N48" s="1"/>
  <c r="N9"/>
  <c r="N40" s="1"/>
  <c r="N30"/>
  <c r="N61" s="1"/>
  <c r="N25"/>
  <c r="N56" s="1"/>
  <c r="N34"/>
  <c r="N20"/>
  <c r="N51" s="1"/>
  <c r="N35"/>
  <c r="N33"/>
  <c r="N15"/>
  <c r="N46" s="1"/>
  <c r="N14"/>
  <c r="N45" s="1"/>
  <c r="N28"/>
  <c r="N59" s="1"/>
  <c r="N8"/>
  <c r="N39" s="1"/>
  <c r="N5"/>
  <c r="N36" s="1"/>
  <c r="N11"/>
  <c r="N42" s="1"/>
  <c r="N23"/>
  <c r="N54" s="1"/>
  <c r="N26"/>
  <c r="N57" s="1"/>
  <c r="N6"/>
  <c r="N37" s="1"/>
  <c r="N16"/>
  <c r="N47" s="1"/>
  <c r="N29"/>
  <c r="N60" s="1"/>
  <c r="N13"/>
  <c r="N44" s="1"/>
  <c r="N19"/>
  <c r="N50" s="1"/>
  <c r="N12"/>
  <c r="N43" s="1"/>
  <c r="Z34"/>
  <c r="N21"/>
  <c r="N52" s="1"/>
  <c r="N31"/>
  <c r="N62" s="1"/>
  <c r="V84"/>
  <c r="V94"/>
  <c r="N7"/>
  <c r="N38" s="1"/>
  <c r="N24"/>
  <c r="N55" s="1"/>
  <c r="N22"/>
  <c r="N53" s="1"/>
  <c r="N10"/>
  <c r="N41" s="1"/>
  <c r="J30"/>
  <c r="J61" s="1"/>
  <c r="J11"/>
  <c r="J42" s="1"/>
  <c r="J18"/>
  <c r="J49" s="1"/>
  <c r="J10"/>
  <c r="J41" s="1"/>
  <c r="J16"/>
  <c r="J47" s="1"/>
  <c r="J8"/>
  <c r="J39" s="1"/>
  <c r="J6"/>
  <c r="J37" s="1"/>
  <c r="J26"/>
  <c r="J57" s="1"/>
  <c r="J7"/>
  <c r="J38" s="1"/>
  <c r="J28"/>
  <c r="J59" s="1"/>
  <c r="J34"/>
  <c r="J17"/>
  <c r="J48" s="1"/>
  <c r="J13"/>
  <c r="J44" s="1"/>
  <c r="J19"/>
  <c r="J50" s="1"/>
  <c r="J27"/>
  <c r="J58" s="1"/>
  <c r="J29"/>
  <c r="J60" s="1"/>
  <c r="J25"/>
  <c r="J56" s="1"/>
  <c r="J15"/>
  <c r="J46" s="1"/>
  <c r="J23"/>
  <c r="J54" s="1"/>
  <c r="J31"/>
  <c r="J62" s="1"/>
  <c r="J5"/>
  <c r="J36" s="1"/>
  <c r="J33"/>
  <c r="J14"/>
  <c r="J45" s="1"/>
  <c r="J35"/>
  <c r="J12"/>
  <c r="J43" s="1"/>
  <c r="AC105"/>
  <c r="AC99"/>
  <c r="AC110"/>
  <c r="AC104"/>
  <c r="AC98"/>
  <c r="AC92"/>
  <c r="Y53"/>
  <c r="V76"/>
  <c r="R31"/>
  <c r="R62" s="1"/>
  <c r="R9"/>
  <c r="R40" s="1"/>
  <c r="R22"/>
  <c r="R53" s="1"/>
  <c r="V77"/>
  <c r="V69"/>
  <c r="V80"/>
  <c r="V72"/>
  <c r="V64"/>
  <c r="V83"/>
  <c r="V73"/>
  <c r="V82"/>
  <c r="V70"/>
  <c r="R5"/>
  <c r="R36" s="1"/>
  <c r="R8"/>
  <c r="R39" s="1"/>
  <c r="R16"/>
  <c r="R47" s="1"/>
  <c r="R24"/>
  <c r="R55" s="1"/>
  <c r="R33"/>
  <c r="R18"/>
  <c r="R49" s="1"/>
  <c r="R14"/>
  <c r="R45" s="1"/>
  <c r="R32"/>
  <c r="R63" s="1"/>
  <c r="R15"/>
  <c r="R46" s="1"/>
  <c r="R35"/>
  <c r="R28"/>
  <c r="R59" s="1"/>
  <c r="AC85"/>
  <c r="AC86"/>
  <c r="AC87"/>
  <c r="Y52"/>
  <c r="F33"/>
  <c r="F29"/>
  <c r="F60" s="1"/>
  <c r="F25"/>
  <c r="F56" s="1"/>
  <c r="F26"/>
  <c r="F57" s="1"/>
  <c r="F10"/>
  <c r="F41" s="1"/>
  <c r="F5"/>
  <c r="F36" s="1"/>
  <c r="AC100"/>
  <c r="AC115"/>
  <c r="AC109"/>
  <c r="AC103"/>
  <c r="AC94"/>
  <c r="AC90"/>
  <c r="AC81"/>
  <c r="AC76"/>
  <c r="AC82"/>
  <c r="AC69"/>
  <c r="AC75"/>
  <c r="F27"/>
  <c r="F58" s="1"/>
  <c r="F28"/>
  <c r="F59" s="1"/>
  <c r="F21"/>
  <c r="F52" s="1"/>
  <c r="F22"/>
  <c r="F53" s="1"/>
  <c r="F16"/>
  <c r="F47" s="1"/>
  <c r="V68"/>
  <c r="V65"/>
  <c r="V79"/>
  <c r="R23"/>
  <c r="R54" s="1"/>
  <c r="R25"/>
  <c r="R56" s="1"/>
  <c r="R30"/>
  <c r="R61" s="1"/>
  <c r="R6"/>
  <c r="R37" s="1"/>
  <c r="AF30"/>
  <c r="AF29"/>
  <c r="AK63"/>
  <c r="AK47"/>
  <c r="AK57"/>
  <c r="AK41"/>
  <c r="AK44"/>
  <c r="AK46"/>
  <c r="AK50"/>
  <c r="AK59"/>
  <c r="AK43"/>
  <c r="AK53"/>
  <c r="AK64"/>
  <c r="AK58"/>
  <c r="AK68"/>
  <c r="AK66"/>
  <c r="AK55"/>
  <c r="AK65"/>
  <c r="AK49"/>
  <c r="AK56"/>
  <c r="AK62"/>
  <c r="AK60"/>
  <c r="AK42"/>
  <c r="AK54"/>
  <c r="AK51"/>
  <c r="AK48"/>
  <c r="AK67"/>
  <c r="AP68"/>
  <c r="AP52"/>
  <c r="AP62"/>
  <c r="AP46"/>
  <c r="AP41"/>
  <c r="AP45"/>
  <c r="AP43"/>
  <c r="AP64"/>
  <c r="AP48"/>
  <c r="AP58"/>
  <c r="AP42"/>
  <c r="AP49"/>
  <c r="AP61"/>
  <c r="AP51"/>
  <c r="AP60"/>
  <c r="AP44"/>
  <c r="AP54"/>
  <c r="AP53"/>
  <c r="AP57"/>
  <c r="AP47"/>
  <c r="AP59"/>
  <c r="AM90"/>
  <c r="AM82"/>
  <c r="AM50"/>
  <c r="AM52"/>
  <c r="AM41"/>
  <c r="AM60"/>
  <c r="AM55"/>
  <c r="AM44"/>
  <c r="AP31"/>
  <c r="AP15"/>
  <c r="AP40"/>
  <c r="AP18"/>
  <c r="AP32"/>
  <c r="AP10"/>
  <c r="AP17"/>
  <c r="AP25"/>
  <c r="AP34"/>
  <c r="AP13"/>
  <c r="AP26"/>
  <c r="AP5"/>
  <c r="AP6"/>
  <c r="AP14"/>
  <c r="AP33"/>
  <c r="AP30"/>
  <c r="AM44" i="3"/>
  <c r="Z44"/>
  <c r="S44"/>
  <c r="X44"/>
  <c r="AA42"/>
  <c r="DE42" s="1"/>
  <c r="Y44"/>
  <c r="BU44"/>
  <c r="BT44"/>
  <c r="AL44"/>
  <c r="AK43"/>
  <c r="AJ43"/>
  <c r="AR42"/>
  <c r="AQ43"/>
  <c r="AR43"/>
  <c r="AK42"/>
  <c r="AM64" i="6" l="1"/>
  <c r="AM48"/>
  <c r="AR52"/>
  <c r="V87"/>
  <c r="V92"/>
  <c r="AR62"/>
  <c r="AR68"/>
  <c r="AR87" s="1"/>
  <c r="AC78"/>
  <c r="AC80"/>
  <c r="AR64"/>
  <c r="V90"/>
  <c r="V86"/>
  <c r="V89"/>
  <c r="AR48"/>
  <c r="AR66"/>
  <c r="V93"/>
  <c r="V85"/>
  <c r="V91"/>
  <c r="AM96"/>
  <c r="AM77"/>
  <c r="AR94"/>
  <c r="AR74"/>
  <c r="AR72"/>
  <c r="AR93"/>
  <c r="AR76"/>
  <c r="AR60"/>
  <c r="AR56"/>
  <c r="AR59"/>
  <c r="AR49"/>
  <c r="AR51"/>
  <c r="AR44"/>
  <c r="AR50"/>
  <c r="AR45"/>
  <c r="AR47"/>
  <c r="AR46"/>
  <c r="AR61"/>
  <c r="AR58"/>
  <c r="AR43"/>
  <c r="AM91"/>
  <c r="AM86"/>
  <c r="AR95"/>
  <c r="AR83"/>
  <c r="AR79"/>
  <c r="AR86"/>
  <c r="AR84"/>
  <c r="AR97"/>
  <c r="AR41"/>
  <c r="AR55"/>
  <c r="AR67"/>
  <c r="AM69"/>
  <c r="AR80"/>
  <c r="AR78"/>
  <c r="AR89"/>
  <c r="AR98"/>
  <c r="AR63"/>
  <c r="AR65"/>
  <c r="AR53"/>
  <c r="AC114"/>
  <c r="AC111"/>
  <c r="AC102"/>
  <c r="AC97"/>
  <c r="AC112"/>
  <c r="AC107"/>
  <c r="AC96"/>
  <c r="AC108"/>
  <c r="AC101"/>
  <c r="AC106"/>
  <c r="AC113"/>
  <c r="AR99"/>
  <c r="AR77"/>
  <c r="AR81"/>
  <c r="AR70"/>
  <c r="AR91"/>
  <c r="AR82"/>
  <c r="AM92"/>
  <c r="AM80"/>
  <c r="AM93"/>
  <c r="AM99"/>
  <c r="AM79"/>
  <c r="AM88"/>
  <c r="AM74"/>
  <c r="AM94"/>
  <c r="AM89"/>
  <c r="AM98"/>
  <c r="AM75"/>
  <c r="AM81"/>
  <c r="AM76"/>
  <c r="AM78"/>
  <c r="AM71"/>
  <c r="AM84"/>
  <c r="AM70"/>
  <c r="AM87"/>
  <c r="AM95"/>
  <c r="AM97"/>
  <c r="AM73"/>
  <c r="AM72"/>
  <c r="AM83"/>
  <c r="AN43" i="3"/>
  <c r="AO43" s="1"/>
  <c r="F49" i="11" s="1"/>
  <c r="R67" i="6"/>
  <c r="R80"/>
  <c r="R73"/>
  <c r="R74"/>
  <c r="R66"/>
  <c r="R71"/>
  <c r="R76"/>
  <c r="R65"/>
  <c r="R72"/>
  <c r="R64"/>
  <c r="R79"/>
  <c r="R68"/>
  <c r="R70"/>
  <c r="R69"/>
  <c r="R81"/>
  <c r="R83"/>
  <c r="R78"/>
  <c r="R77"/>
  <c r="R82"/>
  <c r="R75"/>
  <c r="R91"/>
  <c r="R88"/>
  <c r="R87"/>
  <c r="R94"/>
  <c r="R85"/>
  <c r="R89"/>
  <c r="R93"/>
  <c r="R92"/>
  <c r="R86"/>
  <c r="R84"/>
  <c r="R90"/>
  <c r="F87"/>
  <c r="F91"/>
  <c r="F85"/>
  <c r="F89"/>
  <c r="F92"/>
  <c r="F93"/>
  <c r="F88"/>
  <c r="F94"/>
  <c r="F90"/>
  <c r="F86"/>
  <c r="F84"/>
  <c r="V113"/>
  <c r="V105"/>
  <c r="V97"/>
  <c r="V110"/>
  <c r="V102"/>
  <c r="V103"/>
  <c r="V114"/>
  <c r="V104"/>
  <c r="V101"/>
  <c r="V108"/>
  <c r="V96"/>
  <c r="V99"/>
  <c r="V111"/>
  <c r="V106"/>
  <c r="V109"/>
  <c r="V95"/>
  <c r="V100"/>
  <c r="V98"/>
  <c r="V107"/>
  <c r="V112"/>
  <c r="V123"/>
  <c r="V115"/>
  <c r="V119"/>
  <c r="V116"/>
  <c r="V122"/>
  <c r="V118"/>
  <c r="V121"/>
  <c r="V117"/>
  <c r="V120"/>
  <c r="V124"/>
  <c r="N65"/>
  <c r="N71"/>
  <c r="N83"/>
  <c r="N70"/>
  <c r="N77"/>
  <c r="N68"/>
  <c r="N66"/>
  <c r="N69"/>
  <c r="N79"/>
  <c r="N80"/>
  <c r="N81"/>
  <c r="N75"/>
  <c r="N73"/>
  <c r="N82"/>
  <c r="N67"/>
  <c r="N72"/>
  <c r="N78"/>
  <c r="N64"/>
  <c r="N74"/>
  <c r="N76"/>
  <c r="AK99"/>
  <c r="AK83"/>
  <c r="AK97"/>
  <c r="AK81"/>
  <c r="AK96"/>
  <c r="AK82"/>
  <c r="AK70"/>
  <c r="AK92"/>
  <c r="AK95"/>
  <c r="AK79"/>
  <c r="AK93"/>
  <c r="AK77"/>
  <c r="AK88"/>
  <c r="AK94"/>
  <c r="AK84"/>
  <c r="AK76"/>
  <c r="AK91"/>
  <c r="AK75"/>
  <c r="AK89"/>
  <c r="AK73"/>
  <c r="AK80"/>
  <c r="AK86"/>
  <c r="AK98"/>
  <c r="AK90"/>
  <c r="AK87"/>
  <c r="AK72"/>
  <c r="AK71"/>
  <c r="AK78"/>
  <c r="AK85"/>
  <c r="AK74"/>
  <c r="AK69"/>
  <c r="F78"/>
  <c r="F69"/>
  <c r="F68"/>
  <c r="F82"/>
  <c r="F65"/>
  <c r="F76"/>
  <c r="F71"/>
  <c r="F83"/>
  <c r="F72"/>
  <c r="F80"/>
  <c r="F77"/>
  <c r="F70"/>
  <c r="F73"/>
  <c r="F66"/>
  <c r="F75"/>
  <c r="F67"/>
  <c r="F64"/>
  <c r="F74"/>
  <c r="F81"/>
  <c r="F79"/>
  <c r="J78"/>
  <c r="J75"/>
  <c r="J76"/>
  <c r="J68"/>
  <c r="J65"/>
  <c r="J79"/>
  <c r="J82"/>
  <c r="J64"/>
  <c r="J83"/>
  <c r="J69"/>
  <c r="J71"/>
  <c r="J67"/>
  <c r="J72"/>
  <c r="J66"/>
  <c r="J70"/>
  <c r="J73"/>
  <c r="J74"/>
  <c r="J80"/>
  <c r="J77"/>
  <c r="J81"/>
  <c r="J86"/>
  <c r="J88"/>
  <c r="J91"/>
  <c r="J92"/>
  <c r="J89"/>
  <c r="J87"/>
  <c r="J90"/>
  <c r="J94"/>
  <c r="J93"/>
  <c r="J84"/>
  <c r="J85"/>
  <c r="N84"/>
  <c r="N91"/>
  <c r="N90"/>
  <c r="N93"/>
  <c r="N86"/>
  <c r="N92"/>
  <c r="N87"/>
  <c r="N89"/>
  <c r="N85"/>
  <c r="N88"/>
  <c r="N94"/>
  <c r="AP92"/>
  <c r="AP76"/>
  <c r="AP90"/>
  <c r="AP74"/>
  <c r="AP83"/>
  <c r="AP93"/>
  <c r="AP81"/>
  <c r="AP85"/>
  <c r="AP88"/>
  <c r="AP72"/>
  <c r="AP86"/>
  <c r="AP70"/>
  <c r="AP75"/>
  <c r="AP77"/>
  <c r="AP73"/>
  <c r="AP69"/>
  <c r="AP84"/>
  <c r="AP98"/>
  <c r="AP82"/>
  <c r="AP99"/>
  <c r="AP95"/>
  <c r="AP97"/>
  <c r="AP87"/>
  <c r="AP78"/>
  <c r="AP71"/>
  <c r="AP96"/>
  <c r="AP91"/>
  <c r="AP80"/>
  <c r="AP79"/>
  <c r="AP94"/>
  <c r="AP89"/>
  <c r="AC119"/>
  <c r="AC116"/>
  <c r="AC120"/>
  <c r="AC122"/>
  <c r="AC123"/>
  <c r="AC125"/>
  <c r="AC118"/>
  <c r="AC124"/>
  <c r="AC117"/>
  <c r="AC121"/>
  <c r="AQ44" i="3"/>
  <c r="AR44"/>
  <c r="AK44"/>
  <c r="AA44"/>
  <c r="AN42"/>
  <c r="AS43"/>
  <c r="AP43"/>
  <c r="AP42"/>
  <c r="AR96" i="6" l="1"/>
  <c r="AR73"/>
  <c r="AR92"/>
  <c r="AR85"/>
  <c r="AR71"/>
  <c r="AR75"/>
  <c r="AR90"/>
  <c r="AR69"/>
  <c r="AR88"/>
  <c r="AN44" i="3"/>
  <c r="AC135" i="6"/>
  <c r="AC141"/>
  <c r="AC139"/>
  <c r="AC143"/>
  <c r="AC129"/>
  <c r="AC133"/>
  <c r="AC128"/>
  <c r="AC127"/>
  <c r="AC137"/>
  <c r="AC140"/>
  <c r="AC132"/>
  <c r="AC126"/>
  <c r="AC130"/>
  <c r="AC136"/>
  <c r="AC138"/>
  <c r="AC145"/>
  <c r="AC142"/>
  <c r="AC134"/>
  <c r="AC144"/>
  <c r="AC131"/>
  <c r="AM116"/>
  <c r="AM120"/>
  <c r="AM126"/>
  <c r="AM106"/>
  <c r="AM129"/>
  <c r="AM125"/>
  <c r="AM105"/>
  <c r="AM112"/>
  <c r="AM122"/>
  <c r="AM102"/>
  <c r="AM127"/>
  <c r="AM117"/>
  <c r="AM128"/>
  <c r="AM108"/>
  <c r="AM118"/>
  <c r="AM115"/>
  <c r="AM119"/>
  <c r="AM109"/>
  <c r="AM124"/>
  <c r="AM104"/>
  <c r="AM110"/>
  <c r="AM107"/>
  <c r="AM111"/>
  <c r="AM121"/>
  <c r="AM113"/>
  <c r="AM101"/>
  <c r="AM114"/>
  <c r="AM100"/>
  <c r="AM123"/>
  <c r="AM103"/>
  <c r="AR105"/>
  <c r="AR128"/>
  <c r="AR115"/>
  <c r="AR118"/>
  <c r="AR111"/>
  <c r="AR110"/>
  <c r="AR107"/>
  <c r="AR102"/>
  <c r="AR121"/>
  <c r="AR117"/>
  <c r="AR122"/>
  <c r="AR113"/>
  <c r="AR114"/>
  <c r="AR109"/>
  <c r="AR106"/>
  <c r="AR126"/>
  <c r="AR127"/>
  <c r="AR104"/>
  <c r="AR124"/>
  <c r="AR129"/>
  <c r="AR116"/>
  <c r="AR125"/>
  <c r="AR108"/>
  <c r="AR119"/>
  <c r="AR100"/>
  <c r="AR101"/>
  <c r="AR120"/>
  <c r="AR112"/>
  <c r="AR123"/>
  <c r="AR103"/>
  <c r="AO42" i="3"/>
  <c r="F48" i="11" s="1"/>
  <c r="AS42" i="3"/>
  <c r="AS44" s="1"/>
  <c r="V148" i="6"/>
  <c r="V151"/>
  <c r="V150"/>
  <c r="V149"/>
  <c r="V147"/>
  <c r="V146"/>
  <c r="V154"/>
  <c r="V155"/>
  <c r="V145"/>
  <c r="V152"/>
  <c r="V153"/>
  <c r="F95"/>
  <c r="F112"/>
  <c r="F102"/>
  <c r="F105"/>
  <c r="F111"/>
  <c r="F99"/>
  <c r="F110"/>
  <c r="F109"/>
  <c r="F96"/>
  <c r="F113"/>
  <c r="F107"/>
  <c r="F100"/>
  <c r="F108"/>
  <c r="F103"/>
  <c r="F97"/>
  <c r="F101"/>
  <c r="F104"/>
  <c r="F114"/>
  <c r="F106"/>
  <c r="F98"/>
  <c r="AK126"/>
  <c r="AK118"/>
  <c r="AK102"/>
  <c r="AK116"/>
  <c r="AK100"/>
  <c r="AK103"/>
  <c r="AK117"/>
  <c r="AK123"/>
  <c r="AK114"/>
  <c r="AK124"/>
  <c r="AK104"/>
  <c r="AK121"/>
  <c r="AK101"/>
  <c r="AK113"/>
  <c r="AK110"/>
  <c r="AK120"/>
  <c r="AK127"/>
  <c r="AK105"/>
  <c r="AK129"/>
  <c r="AK112"/>
  <c r="AK125"/>
  <c r="AK122"/>
  <c r="AK108"/>
  <c r="AK109"/>
  <c r="AK106"/>
  <c r="AK119"/>
  <c r="AK115"/>
  <c r="AK107"/>
  <c r="AK128"/>
  <c r="AK111"/>
  <c r="N119"/>
  <c r="N118"/>
  <c r="N122"/>
  <c r="N121"/>
  <c r="N123"/>
  <c r="N120"/>
  <c r="N124"/>
  <c r="N115"/>
  <c r="N117"/>
  <c r="N116"/>
  <c r="J106"/>
  <c r="J101"/>
  <c r="J105"/>
  <c r="J108"/>
  <c r="J98"/>
  <c r="J97"/>
  <c r="J112"/>
  <c r="J95"/>
  <c r="J113"/>
  <c r="J96"/>
  <c r="J111"/>
  <c r="J109"/>
  <c r="J110"/>
  <c r="J102"/>
  <c r="J114"/>
  <c r="J103"/>
  <c r="J104"/>
  <c r="J100"/>
  <c r="J107"/>
  <c r="J99"/>
  <c r="N113"/>
  <c r="N100"/>
  <c r="N106"/>
  <c r="N99"/>
  <c r="N96"/>
  <c r="N105"/>
  <c r="N98"/>
  <c r="N110"/>
  <c r="N101"/>
  <c r="N111"/>
  <c r="N97"/>
  <c r="N103"/>
  <c r="N95"/>
  <c r="N102"/>
  <c r="N112"/>
  <c r="N114"/>
  <c r="N107"/>
  <c r="N108"/>
  <c r="N104"/>
  <c r="N109"/>
  <c r="F115"/>
  <c r="F117"/>
  <c r="F116"/>
  <c r="F118"/>
  <c r="F119"/>
  <c r="F123"/>
  <c r="F122"/>
  <c r="F121"/>
  <c r="F124"/>
  <c r="F120"/>
  <c r="R116"/>
  <c r="R124"/>
  <c r="R115"/>
  <c r="R117"/>
  <c r="R121"/>
  <c r="R120"/>
  <c r="R119"/>
  <c r="R123"/>
  <c r="R118"/>
  <c r="R122"/>
  <c r="R98"/>
  <c r="R106"/>
  <c r="R102"/>
  <c r="R113"/>
  <c r="R112"/>
  <c r="R100"/>
  <c r="R108"/>
  <c r="R105"/>
  <c r="R99"/>
  <c r="R107"/>
  <c r="R101"/>
  <c r="R96"/>
  <c r="R109"/>
  <c r="R114"/>
  <c r="R103"/>
  <c r="R95"/>
  <c r="R110"/>
  <c r="R104"/>
  <c r="R111"/>
  <c r="R97"/>
  <c r="J124"/>
  <c r="J119"/>
  <c r="J116"/>
  <c r="J117"/>
  <c r="J123"/>
  <c r="J120"/>
  <c r="J115"/>
  <c r="J121"/>
  <c r="J122"/>
  <c r="J118"/>
  <c r="AC150"/>
  <c r="AC151"/>
  <c r="AC152"/>
  <c r="AC154"/>
  <c r="AC153"/>
  <c r="AC155"/>
  <c r="AC156"/>
  <c r="AC146"/>
  <c r="AC147"/>
  <c r="AC148"/>
  <c r="AC149"/>
  <c r="AP124"/>
  <c r="AP108"/>
  <c r="AP122"/>
  <c r="AP106"/>
  <c r="AP107"/>
  <c r="AP109"/>
  <c r="AP105"/>
  <c r="AP101"/>
  <c r="AP128"/>
  <c r="AP104"/>
  <c r="AP114"/>
  <c r="AP115"/>
  <c r="AP129"/>
  <c r="AP103"/>
  <c r="AP120"/>
  <c r="AP100"/>
  <c r="AP110"/>
  <c r="AP127"/>
  <c r="AP121"/>
  <c r="AP117"/>
  <c r="AP116"/>
  <c r="AP102"/>
  <c r="AP113"/>
  <c r="AP112"/>
  <c r="AP123"/>
  <c r="AP119"/>
  <c r="AP126"/>
  <c r="AP111"/>
  <c r="AP118"/>
  <c r="AP125"/>
  <c r="V138"/>
  <c r="V130"/>
  <c r="V141"/>
  <c r="V133"/>
  <c r="V125"/>
  <c r="V140"/>
  <c r="V128"/>
  <c r="V137"/>
  <c r="V127"/>
  <c r="V136"/>
  <c r="V135"/>
  <c r="V126"/>
  <c r="V144"/>
  <c r="V134"/>
  <c r="V143"/>
  <c r="V131"/>
  <c r="V142"/>
  <c r="V129"/>
  <c r="V132"/>
  <c r="V139"/>
  <c r="AO44" i="3"/>
  <c r="AP44"/>
  <c r="AJ42"/>
  <c r="AJ44" s="1"/>
  <c r="AT43"/>
  <c r="AT42"/>
  <c r="AC176" i="6" l="1"/>
  <c r="AC173"/>
  <c r="AC167"/>
  <c r="AC172"/>
  <c r="AC157"/>
  <c r="AC163"/>
  <c r="AC174"/>
  <c r="AC165"/>
  <c r="AC159"/>
  <c r="AC158"/>
  <c r="AC169"/>
  <c r="AC161"/>
  <c r="AC160"/>
  <c r="AC170"/>
  <c r="AC171"/>
  <c r="AC162"/>
  <c r="AC175"/>
  <c r="AC168"/>
  <c r="AC166"/>
  <c r="AC164"/>
  <c r="AM144"/>
  <c r="AM150"/>
  <c r="AM130"/>
  <c r="AM153"/>
  <c r="AM157"/>
  <c r="AM160"/>
  <c r="AM136"/>
  <c r="AM146"/>
  <c r="AM155"/>
  <c r="AM159"/>
  <c r="AM149"/>
  <c r="AM152"/>
  <c r="AM132"/>
  <c r="AM142"/>
  <c r="AM139"/>
  <c r="AM151"/>
  <c r="AM141"/>
  <c r="AM148"/>
  <c r="AM158"/>
  <c r="AM134"/>
  <c r="AM131"/>
  <c r="AM143"/>
  <c r="AM137"/>
  <c r="AM138"/>
  <c r="AM133"/>
  <c r="AM140"/>
  <c r="AM145"/>
  <c r="AM154"/>
  <c r="AM135"/>
  <c r="AM156"/>
  <c r="AM147"/>
  <c r="AR141"/>
  <c r="AR146"/>
  <c r="AR147"/>
  <c r="AR153"/>
  <c r="AR130"/>
  <c r="AR160"/>
  <c r="AR159"/>
  <c r="AR154"/>
  <c r="AR139"/>
  <c r="AR150"/>
  <c r="AR143"/>
  <c r="AR149"/>
  <c r="AR131"/>
  <c r="AR142"/>
  <c r="AR155"/>
  <c r="AR152"/>
  <c r="AR156"/>
  <c r="AR133"/>
  <c r="AR158"/>
  <c r="AR145"/>
  <c r="AR132"/>
  <c r="AR134"/>
  <c r="AR138"/>
  <c r="AR136"/>
  <c r="AR151"/>
  <c r="AR157"/>
  <c r="AR140"/>
  <c r="AR148"/>
  <c r="AR135"/>
  <c r="AR137"/>
  <c r="AR144"/>
  <c r="F137"/>
  <c r="F130"/>
  <c r="F132"/>
  <c r="F144"/>
  <c r="F131"/>
  <c r="F129"/>
  <c r="F139"/>
  <c r="F142"/>
  <c r="F134"/>
  <c r="F135"/>
  <c r="F133"/>
  <c r="F128"/>
  <c r="F141"/>
  <c r="F126"/>
  <c r="F136"/>
  <c r="F127"/>
  <c r="F138"/>
  <c r="F143"/>
  <c r="F125"/>
  <c r="F140"/>
  <c r="R154"/>
  <c r="R148"/>
  <c r="R150"/>
  <c r="R146"/>
  <c r="R152"/>
  <c r="R153"/>
  <c r="R155"/>
  <c r="R145"/>
  <c r="R149"/>
  <c r="R151"/>
  <c r="R147"/>
  <c r="F153"/>
  <c r="F151"/>
  <c r="F154"/>
  <c r="F150"/>
  <c r="F152"/>
  <c r="F148"/>
  <c r="F146"/>
  <c r="F145"/>
  <c r="F147"/>
  <c r="F155"/>
  <c r="F149"/>
  <c r="N129"/>
  <c r="N143"/>
  <c r="N132"/>
  <c r="N136"/>
  <c r="N138"/>
  <c r="N135"/>
  <c r="N128"/>
  <c r="N142"/>
  <c r="N139"/>
  <c r="N141"/>
  <c r="N134"/>
  <c r="N127"/>
  <c r="N131"/>
  <c r="N133"/>
  <c r="N130"/>
  <c r="N140"/>
  <c r="N144"/>
  <c r="N137"/>
  <c r="N125"/>
  <c r="N126"/>
  <c r="AK155"/>
  <c r="AK139"/>
  <c r="AK150"/>
  <c r="AK134"/>
  <c r="AK152"/>
  <c r="AK136"/>
  <c r="AK157"/>
  <c r="AK131"/>
  <c r="AK143"/>
  <c r="AK146"/>
  <c r="AK160"/>
  <c r="AK140"/>
  <c r="AK149"/>
  <c r="AK159"/>
  <c r="AK135"/>
  <c r="AK142"/>
  <c r="AK156"/>
  <c r="AK132"/>
  <c r="AK133"/>
  <c r="AK154"/>
  <c r="AK144"/>
  <c r="AK141"/>
  <c r="AK151"/>
  <c r="AK138"/>
  <c r="AK153"/>
  <c r="AK147"/>
  <c r="AK130"/>
  <c r="AK137"/>
  <c r="AK158"/>
  <c r="AK148"/>
  <c r="AK145"/>
  <c r="AP160"/>
  <c r="AP144"/>
  <c r="AP158"/>
  <c r="AP142"/>
  <c r="AP155"/>
  <c r="AP159"/>
  <c r="AP153"/>
  <c r="AP135"/>
  <c r="AP152"/>
  <c r="AP132"/>
  <c r="AP138"/>
  <c r="AP139"/>
  <c r="AP141"/>
  <c r="AP149"/>
  <c r="AP148"/>
  <c r="AP154"/>
  <c r="AP134"/>
  <c r="AP131"/>
  <c r="AP145"/>
  <c r="AP133"/>
  <c r="AP156"/>
  <c r="AP146"/>
  <c r="AP157"/>
  <c r="AP140"/>
  <c r="AP130"/>
  <c r="AP137"/>
  <c r="AP136"/>
  <c r="AP147"/>
  <c r="AP151"/>
  <c r="AP143"/>
  <c r="AP150"/>
  <c r="V172"/>
  <c r="V164"/>
  <c r="V156"/>
  <c r="V169"/>
  <c r="V161"/>
  <c r="V174"/>
  <c r="V162"/>
  <c r="V173"/>
  <c r="V163"/>
  <c r="V170"/>
  <c r="V171"/>
  <c r="V160"/>
  <c r="V159"/>
  <c r="V168"/>
  <c r="V158"/>
  <c r="V167"/>
  <c r="V157"/>
  <c r="V166"/>
  <c r="V165"/>
  <c r="V175"/>
  <c r="AC182"/>
  <c r="AC186"/>
  <c r="AC183"/>
  <c r="AC184"/>
  <c r="AC178"/>
  <c r="AC185"/>
  <c r="AC180"/>
  <c r="AC179"/>
  <c r="AC181"/>
  <c r="AC177"/>
  <c r="V178"/>
  <c r="V181"/>
  <c r="V184"/>
  <c r="V185"/>
  <c r="V182"/>
  <c r="V183"/>
  <c r="V180"/>
  <c r="V179"/>
  <c r="V177"/>
  <c r="V176"/>
  <c r="J149"/>
  <c r="J152"/>
  <c r="J153"/>
  <c r="J151"/>
  <c r="J147"/>
  <c r="J155"/>
  <c r="J148"/>
  <c r="J154"/>
  <c r="J150"/>
  <c r="J145"/>
  <c r="J146"/>
  <c r="R133"/>
  <c r="R140"/>
  <c r="R129"/>
  <c r="R128"/>
  <c r="R135"/>
  <c r="R141"/>
  <c r="R130"/>
  <c r="R126"/>
  <c r="R144"/>
  <c r="R125"/>
  <c r="R138"/>
  <c r="R139"/>
  <c r="R127"/>
  <c r="R137"/>
  <c r="R143"/>
  <c r="R142"/>
  <c r="R134"/>
  <c r="R132"/>
  <c r="R136"/>
  <c r="R131"/>
  <c r="J135"/>
  <c r="J140"/>
  <c r="J132"/>
  <c r="J125"/>
  <c r="J137"/>
  <c r="J133"/>
  <c r="J139"/>
  <c r="J138"/>
  <c r="J143"/>
  <c r="J128"/>
  <c r="J131"/>
  <c r="J126"/>
  <c r="J141"/>
  <c r="J129"/>
  <c r="J134"/>
  <c r="J127"/>
  <c r="J142"/>
  <c r="J130"/>
  <c r="J136"/>
  <c r="J144"/>
  <c r="N152"/>
  <c r="N151"/>
  <c r="N145"/>
  <c r="N147"/>
  <c r="N153"/>
  <c r="N148"/>
  <c r="N150"/>
  <c r="N149"/>
  <c r="N154"/>
  <c r="N155"/>
  <c r="N146"/>
  <c r="AT44" i="3"/>
  <c r="AC199" i="6" l="1"/>
  <c r="AC196"/>
  <c r="AC191"/>
  <c r="AC189"/>
  <c r="AC194"/>
  <c r="AC192"/>
  <c r="AC204"/>
  <c r="AC190"/>
  <c r="AC195"/>
  <c r="AC203"/>
  <c r="AC198"/>
  <c r="AC197"/>
  <c r="AC201"/>
  <c r="AC193"/>
  <c r="AC205"/>
  <c r="AC188"/>
  <c r="AC206"/>
  <c r="AC202"/>
  <c r="AC187"/>
  <c r="AC200"/>
  <c r="AM186"/>
  <c r="AM163"/>
  <c r="AM173"/>
  <c r="AM187"/>
  <c r="AM162"/>
  <c r="AM188"/>
  <c r="AM169"/>
  <c r="AM170"/>
  <c r="AM175"/>
  <c r="AM190"/>
  <c r="AM172"/>
  <c r="AM167"/>
  <c r="AM178"/>
  <c r="AM161"/>
  <c r="AM180"/>
  <c r="AM171"/>
  <c r="AM181"/>
  <c r="AM176"/>
  <c r="AM185"/>
  <c r="AM177"/>
  <c r="AM168"/>
  <c r="AM189"/>
  <c r="AM183"/>
  <c r="AM164"/>
  <c r="AM174"/>
  <c r="AM182"/>
  <c r="AM165"/>
  <c r="AM179"/>
  <c r="AM184"/>
  <c r="AM166"/>
  <c r="AR179"/>
  <c r="AR190"/>
  <c r="AR180"/>
  <c r="AR161"/>
  <c r="AR174"/>
  <c r="AR167"/>
  <c r="AR168"/>
  <c r="AR181"/>
  <c r="AR164"/>
  <c r="AR169"/>
  <c r="AR182"/>
  <c r="AR172"/>
  <c r="AR178"/>
  <c r="AR173"/>
  <c r="AR185"/>
  <c r="AR177"/>
  <c r="AR166"/>
  <c r="AR163"/>
  <c r="AR189"/>
  <c r="AR170"/>
  <c r="AR171"/>
  <c r="AR183"/>
  <c r="AR176"/>
  <c r="AR187"/>
  <c r="AR186"/>
  <c r="AR165"/>
  <c r="AR162"/>
  <c r="AR175"/>
  <c r="AR184"/>
  <c r="AR188"/>
  <c r="V202"/>
  <c r="V196"/>
  <c r="V188"/>
  <c r="V195"/>
  <c r="V187"/>
  <c r="V200"/>
  <c r="V192"/>
  <c r="V197"/>
  <c r="V201"/>
  <c r="V203"/>
  <c r="V190"/>
  <c r="V205"/>
  <c r="V193"/>
  <c r="V198"/>
  <c r="V186"/>
  <c r="V191"/>
  <c r="V189"/>
  <c r="V204"/>
  <c r="V199"/>
  <c r="V194"/>
  <c r="R178"/>
  <c r="R182"/>
  <c r="R183"/>
  <c r="R184"/>
  <c r="R177"/>
  <c r="R180"/>
  <c r="R176"/>
  <c r="R185"/>
  <c r="R179"/>
  <c r="R181"/>
  <c r="R160"/>
  <c r="R158"/>
  <c r="R165"/>
  <c r="R174"/>
  <c r="R169"/>
  <c r="R173"/>
  <c r="R168"/>
  <c r="R163"/>
  <c r="R166"/>
  <c r="R164"/>
  <c r="R156"/>
  <c r="R167"/>
  <c r="R162"/>
  <c r="R170"/>
  <c r="R159"/>
  <c r="R171"/>
  <c r="R172"/>
  <c r="R157"/>
  <c r="R175"/>
  <c r="R161"/>
  <c r="AP184"/>
  <c r="AP168"/>
  <c r="AP182"/>
  <c r="AP166"/>
  <c r="AP171"/>
  <c r="AP173"/>
  <c r="AP161"/>
  <c r="AP165"/>
  <c r="AP180"/>
  <c r="AP190"/>
  <c r="AP170"/>
  <c r="AP163"/>
  <c r="AP177"/>
  <c r="AP181"/>
  <c r="AP176"/>
  <c r="AP186"/>
  <c r="AP162"/>
  <c r="AP175"/>
  <c r="AP169"/>
  <c r="AP178"/>
  <c r="AP189"/>
  <c r="AP188"/>
  <c r="AP174"/>
  <c r="AP185"/>
  <c r="AP172"/>
  <c r="AP187"/>
  <c r="AP183"/>
  <c r="AP167"/>
  <c r="AP164"/>
  <c r="AP179"/>
  <c r="AK179"/>
  <c r="AK163"/>
  <c r="AK178"/>
  <c r="AK162"/>
  <c r="AK176"/>
  <c r="AK185"/>
  <c r="AK165"/>
  <c r="AK171"/>
  <c r="AK182"/>
  <c r="AK188"/>
  <c r="AK168"/>
  <c r="AK181"/>
  <c r="AK187"/>
  <c r="AK167"/>
  <c r="AK174"/>
  <c r="AK184"/>
  <c r="AK164"/>
  <c r="AK189"/>
  <c r="AK190"/>
  <c r="AK180"/>
  <c r="AK177"/>
  <c r="AK186"/>
  <c r="AK172"/>
  <c r="AK161"/>
  <c r="AK183"/>
  <c r="AK170"/>
  <c r="AK169"/>
  <c r="AK175"/>
  <c r="AK166"/>
  <c r="AK173"/>
  <c r="F179"/>
  <c r="F181"/>
  <c r="F183"/>
  <c r="F177"/>
  <c r="F184"/>
  <c r="F178"/>
  <c r="F180"/>
  <c r="F182"/>
  <c r="F185"/>
  <c r="F176"/>
  <c r="V216"/>
  <c r="V208"/>
  <c r="V207"/>
  <c r="V212"/>
  <c r="V215"/>
  <c r="V210"/>
  <c r="V213"/>
  <c r="V206"/>
  <c r="V209"/>
  <c r="V211"/>
  <c r="V214"/>
  <c r="N185"/>
  <c r="N184"/>
  <c r="N182"/>
  <c r="N176"/>
  <c r="N177"/>
  <c r="N181"/>
  <c r="N178"/>
  <c r="N179"/>
  <c r="N180"/>
  <c r="N183"/>
  <c r="J183"/>
  <c r="J180"/>
  <c r="J181"/>
  <c r="J182"/>
  <c r="J184"/>
  <c r="J176"/>
  <c r="J177"/>
  <c r="J185"/>
  <c r="J178"/>
  <c r="J179"/>
  <c r="J169"/>
  <c r="J167"/>
  <c r="J171"/>
  <c r="J163"/>
  <c r="J161"/>
  <c r="J156"/>
  <c r="J175"/>
  <c r="J158"/>
  <c r="J160"/>
  <c r="J168"/>
  <c r="J166"/>
  <c r="J164"/>
  <c r="J162"/>
  <c r="J173"/>
  <c r="J170"/>
  <c r="J174"/>
  <c r="J165"/>
  <c r="J172"/>
  <c r="J157"/>
  <c r="J159"/>
  <c r="AC214"/>
  <c r="AC210"/>
  <c r="AC216"/>
  <c r="AC217"/>
  <c r="AC213"/>
  <c r="AC207"/>
  <c r="AC209"/>
  <c r="AC215"/>
  <c r="AC208"/>
  <c r="AC212"/>
  <c r="AC211"/>
  <c r="N166"/>
  <c r="N172"/>
  <c r="N165"/>
  <c r="N170"/>
  <c r="N159"/>
  <c r="N158"/>
  <c r="N157"/>
  <c r="N175"/>
  <c r="N171"/>
  <c r="N164"/>
  <c r="N163"/>
  <c r="N169"/>
  <c r="N156"/>
  <c r="N168"/>
  <c r="N162"/>
  <c r="N160"/>
  <c r="N174"/>
  <c r="N167"/>
  <c r="N161"/>
  <c r="N173"/>
  <c r="F156"/>
  <c r="F166"/>
  <c r="F175"/>
  <c r="F162"/>
  <c r="F170"/>
  <c r="F159"/>
  <c r="F165"/>
  <c r="F174"/>
  <c r="F171"/>
  <c r="F163"/>
  <c r="F164"/>
  <c r="F173"/>
  <c r="F172"/>
  <c r="F157"/>
  <c r="F169"/>
  <c r="F167"/>
  <c r="F160"/>
  <c r="F158"/>
  <c r="F161"/>
  <c r="F168"/>
  <c r="BW8" i="3" l="1"/>
  <c r="BW6"/>
  <c r="BW5"/>
  <c r="BW4"/>
  <c r="BW9"/>
  <c r="BW7"/>
  <c r="BW10"/>
  <c r="BW11"/>
  <c r="BW12"/>
  <c r="BW13"/>
  <c r="BW14"/>
  <c r="BW15"/>
  <c r="BW16"/>
  <c r="BW17"/>
  <c r="BW18"/>
  <c r="BW19"/>
  <c r="BW20"/>
  <c r="BV8"/>
  <c r="BV5"/>
  <c r="BV6"/>
  <c r="BV9"/>
  <c r="BV4"/>
  <c r="BV7"/>
  <c r="BV10"/>
  <c r="BV11"/>
  <c r="BV12"/>
  <c r="BV13"/>
  <c r="BV14"/>
  <c r="BV15"/>
  <c r="BV16"/>
  <c r="BV17"/>
  <c r="BV18"/>
  <c r="BV19"/>
  <c r="BV20"/>
  <c r="BV21"/>
  <c r="BW21"/>
  <c r="BW22"/>
  <c r="BV22"/>
  <c r="AC219" i="6"/>
  <c r="AC226"/>
  <c r="AC228"/>
  <c r="AC222"/>
  <c r="AC235"/>
  <c r="AC232"/>
  <c r="AC227"/>
  <c r="AC225"/>
  <c r="AC230"/>
  <c r="AC229"/>
  <c r="AC221"/>
  <c r="AC224"/>
  <c r="AC234"/>
  <c r="AC231"/>
  <c r="AC223"/>
  <c r="AC233"/>
  <c r="AC236"/>
  <c r="AC237"/>
  <c r="AC218"/>
  <c r="AC220"/>
  <c r="AM216"/>
  <c r="AM203"/>
  <c r="AM212"/>
  <c r="AM195"/>
  <c r="AM208"/>
  <c r="AM204"/>
  <c r="AM192"/>
  <c r="AM211"/>
  <c r="AM199"/>
  <c r="AM210"/>
  <c r="AM217"/>
  <c r="AM215"/>
  <c r="AM200"/>
  <c r="AM201"/>
  <c r="AM196"/>
  <c r="AM193"/>
  <c r="AM206"/>
  <c r="AM202"/>
  <c r="AM219"/>
  <c r="AM207"/>
  <c r="AM214"/>
  <c r="AM191"/>
  <c r="AM209"/>
  <c r="AM220"/>
  <c r="AM205"/>
  <c r="AM213"/>
  <c r="AM194"/>
  <c r="AM218"/>
  <c r="AM197"/>
  <c r="AM198"/>
  <c r="AM221"/>
  <c r="AR203"/>
  <c r="AR214"/>
  <c r="AR212"/>
  <c r="AR193"/>
  <c r="AR206"/>
  <c r="AR211"/>
  <c r="AR208"/>
  <c r="AR218"/>
  <c r="AR192"/>
  <c r="AR196"/>
  <c r="AR200"/>
  <c r="AR219"/>
  <c r="AR207"/>
  <c r="AR194"/>
  <c r="AR198"/>
  <c r="AR201"/>
  <c r="AR221"/>
  <c r="AR220"/>
  <c r="AR217"/>
  <c r="AR202"/>
  <c r="AR199"/>
  <c r="AR215"/>
  <c r="AR210"/>
  <c r="AR191"/>
  <c r="AR205"/>
  <c r="AR197"/>
  <c r="AR204"/>
  <c r="AR209"/>
  <c r="AR216"/>
  <c r="AR213"/>
  <c r="AR195"/>
  <c r="V240"/>
  <c r="V237"/>
  <c r="V244"/>
  <c r="V241"/>
  <c r="V247"/>
  <c r="V242"/>
  <c r="V238"/>
  <c r="V243"/>
  <c r="V246"/>
  <c r="V245"/>
  <c r="V239"/>
  <c r="AK211"/>
  <c r="AK195"/>
  <c r="AK210"/>
  <c r="AK194"/>
  <c r="AK208"/>
  <c r="AK192"/>
  <c r="AK213"/>
  <c r="AK205"/>
  <c r="AK207"/>
  <c r="AK191"/>
  <c r="AK206"/>
  <c r="AK220"/>
  <c r="AK204"/>
  <c r="AK217"/>
  <c r="AK197"/>
  <c r="AK219"/>
  <c r="AK218"/>
  <c r="AK216"/>
  <c r="AK201"/>
  <c r="AK215"/>
  <c r="AK214"/>
  <c r="AK212"/>
  <c r="AK221"/>
  <c r="AK203"/>
  <c r="AK202"/>
  <c r="AK200"/>
  <c r="AK209"/>
  <c r="AK199"/>
  <c r="AK198"/>
  <c r="AK196"/>
  <c r="AK193"/>
  <c r="AP220"/>
  <c r="AP204"/>
  <c r="AP218"/>
  <c r="AP202"/>
  <c r="AP211"/>
  <c r="AP191"/>
  <c r="AP209"/>
  <c r="AP199"/>
  <c r="AP216"/>
  <c r="AP200"/>
  <c r="AP214"/>
  <c r="AP198"/>
  <c r="AP203"/>
  <c r="AP221"/>
  <c r="AP201"/>
  <c r="AP213"/>
  <c r="AP212"/>
  <c r="AP210"/>
  <c r="AP195"/>
  <c r="AP193"/>
  <c r="AP208"/>
  <c r="AP206"/>
  <c r="AP207"/>
  <c r="AP215"/>
  <c r="AP196"/>
  <c r="AP194"/>
  <c r="AP205"/>
  <c r="AP197"/>
  <c r="AP192"/>
  <c r="AP219"/>
  <c r="AP217"/>
  <c r="R206"/>
  <c r="R212"/>
  <c r="R215"/>
  <c r="R214"/>
  <c r="R208"/>
  <c r="R209"/>
  <c r="R207"/>
  <c r="R213"/>
  <c r="R216"/>
  <c r="R210"/>
  <c r="R211"/>
  <c r="V230"/>
  <c r="V222"/>
  <c r="V229"/>
  <c r="V231"/>
  <c r="V221"/>
  <c r="C27"/>
  <c r="C28" s="1"/>
  <c r="V236"/>
  <c r="V226"/>
  <c r="V233"/>
  <c r="V227"/>
  <c r="V234"/>
  <c r="V225"/>
  <c r="V223"/>
  <c r="V224"/>
  <c r="V232"/>
  <c r="V220"/>
  <c r="V219"/>
  <c r="V217"/>
  <c r="V235"/>
  <c r="V218"/>
  <c r="V228"/>
  <c r="F186"/>
  <c r="F203"/>
  <c r="F193"/>
  <c r="F195"/>
  <c r="F190"/>
  <c r="F187"/>
  <c r="F188"/>
  <c r="F205"/>
  <c r="F198"/>
  <c r="F202"/>
  <c r="F199"/>
  <c r="F201"/>
  <c r="F204"/>
  <c r="F197"/>
  <c r="F192"/>
  <c r="F200"/>
  <c r="F191"/>
  <c r="F194"/>
  <c r="F189"/>
  <c r="F196"/>
  <c r="J203"/>
  <c r="J204"/>
  <c r="J196"/>
  <c r="J201"/>
  <c r="J197"/>
  <c r="J205"/>
  <c r="J195"/>
  <c r="J190"/>
  <c r="J188"/>
  <c r="J202"/>
  <c r="J186"/>
  <c r="J192"/>
  <c r="J187"/>
  <c r="J189"/>
  <c r="J191"/>
  <c r="J193"/>
  <c r="J200"/>
  <c r="J198"/>
  <c r="J194"/>
  <c r="J199"/>
  <c r="J214"/>
  <c r="J213"/>
  <c r="J215"/>
  <c r="J216"/>
  <c r="J207"/>
  <c r="J208"/>
  <c r="J211"/>
  <c r="J212"/>
  <c r="J210"/>
  <c r="J209"/>
  <c r="J206"/>
  <c r="N211"/>
  <c r="N212"/>
  <c r="N207"/>
  <c r="N214"/>
  <c r="N210"/>
  <c r="N213"/>
  <c r="N206"/>
  <c r="N216"/>
  <c r="N215"/>
  <c r="N208"/>
  <c r="N209"/>
  <c r="N196"/>
  <c r="N189"/>
  <c r="N200"/>
  <c r="N195"/>
  <c r="N202"/>
  <c r="N188"/>
  <c r="N194"/>
  <c r="N187"/>
  <c r="N201"/>
  <c r="N193"/>
  <c r="N199"/>
  <c r="N204"/>
  <c r="N186"/>
  <c r="N198"/>
  <c r="N205"/>
  <c r="N203"/>
  <c r="N190"/>
  <c r="N191"/>
  <c r="N192"/>
  <c r="N197"/>
  <c r="AC248"/>
  <c r="AC246"/>
  <c r="AC240"/>
  <c r="AC244"/>
  <c r="AC241"/>
  <c r="AC247"/>
  <c r="AC243"/>
  <c r="AC242"/>
  <c r="AC238"/>
  <c r="AC239"/>
  <c r="AC245"/>
  <c r="F207"/>
  <c r="F215"/>
  <c r="F209"/>
  <c r="F211"/>
  <c r="F213"/>
  <c r="F214"/>
  <c r="F210"/>
  <c r="F208"/>
  <c r="F206"/>
  <c r="F216"/>
  <c r="F212"/>
  <c r="R205"/>
  <c r="R196"/>
  <c r="R187"/>
  <c r="R189"/>
  <c r="R202"/>
  <c r="R192"/>
  <c r="R198"/>
  <c r="R186"/>
  <c r="R190"/>
  <c r="R193"/>
  <c r="R201"/>
  <c r="R203"/>
  <c r="R199"/>
  <c r="R204"/>
  <c r="R191"/>
  <c r="R194"/>
  <c r="R195"/>
  <c r="R197"/>
  <c r="R200"/>
  <c r="R188"/>
  <c r="BV23" i="3" l="1"/>
  <c r="BW23"/>
  <c r="BF23" s="1"/>
  <c r="BK23" s="1"/>
  <c r="AC268" i="6"/>
  <c r="AC267"/>
  <c r="AC258"/>
  <c r="AC262"/>
  <c r="AC264"/>
  <c r="AC249"/>
  <c r="AC257"/>
  <c r="AC255"/>
  <c r="AC260"/>
  <c r="AC259"/>
  <c r="AC261"/>
  <c r="AC265"/>
  <c r="AC250"/>
  <c r="AC253"/>
  <c r="AC252"/>
  <c r="AC263"/>
  <c r="AC251"/>
  <c r="AC256"/>
  <c r="AC254"/>
  <c r="AC266"/>
  <c r="BF14" i="3"/>
  <c r="BK14" s="1"/>
  <c r="BE14"/>
  <c r="BH14"/>
  <c r="BM14" s="1"/>
  <c r="BG14"/>
  <c r="BL14" s="1"/>
  <c r="BE4"/>
  <c r="BH4"/>
  <c r="BM4" s="1"/>
  <c r="BF4"/>
  <c r="BG4"/>
  <c r="BE5"/>
  <c r="BG5"/>
  <c r="BL5" s="1"/>
  <c r="BH5"/>
  <c r="BM5" s="1"/>
  <c r="BF5"/>
  <c r="BK5" s="1"/>
  <c r="BF6"/>
  <c r="BK6" s="1"/>
  <c r="BH6"/>
  <c r="BM6" s="1"/>
  <c r="BE6"/>
  <c r="BG6"/>
  <c r="BL6" s="1"/>
  <c r="AM246" i="6"/>
  <c r="AM239"/>
  <c r="AM242"/>
  <c r="AM231"/>
  <c r="AM225"/>
  <c r="AM247"/>
  <c r="AM223"/>
  <c r="AM236"/>
  <c r="AM248"/>
  <c r="AM243"/>
  <c r="AM244"/>
  <c r="AM235"/>
  <c r="AM224"/>
  <c r="AM250"/>
  <c r="AM238"/>
  <c r="AM249"/>
  <c r="AM232"/>
  <c r="AM241"/>
  <c r="AM233"/>
  <c r="AM222"/>
  <c r="AM251"/>
  <c r="AM227"/>
  <c r="AM230"/>
  <c r="AM237"/>
  <c r="AM226"/>
  <c r="AM229"/>
  <c r="AM252"/>
  <c r="AM240"/>
  <c r="AM234"/>
  <c r="AM228"/>
  <c r="AM245"/>
  <c r="BF11" i="3"/>
  <c r="BK11" s="1"/>
  <c r="BE11"/>
  <c r="BH11"/>
  <c r="BM11" s="1"/>
  <c r="BG11"/>
  <c r="BL11" s="1"/>
  <c r="BF17"/>
  <c r="BK17" s="1"/>
  <c r="BH17"/>
  <c r="BM17" s="1"/>
  <c r="BG17"/>
  <c r="BL17" s="1"/>
  <c r="BE17"/>
  <c r="BE10"/>
  <c r="BF10"/>
  <c r="BK10" s="1"/>
  <c r="BG10"/>
  <c r="BL10" s="1"/>
  <c r="BH10"/>
  <c r="BM10" s="1"/>
  <c r="BG9"/>
  <c r="BL9" s="1"/>
  <c r="BH9"/>
  <c r="BM9" s="1"/>
  <c r="BE9"/>
  <c r="BF9"/>
  <c r="BK9" s="1"/>
  <c r="BF20"/>
  <c r="BK20" s="1"/>
  <c r="BG20"/>
  <c r="BL20" s="1"/>
  <c r="BH20"/>
  <c r="BM20" s="1"/>
  <c r="BE20"/>
  <c r="BF7"/>
  <c r="BK7" s="1"/>
  <c r="BE7"/>
  <c r="BH7"/>
  <c r="BM7" s="1"/>
  <c r="BG7"/>
  <c r="BL7" s="1"/>
  <c r="BE21"/>
  <c r="BH21"/>
  <c r="BM21" s="1"/>
  <c r="BG21"/>
  <c r="BL21" s="1"/>
  <c r="BF21"/>
  <c r="BK21" s="1"/>
  <c r="BF13"/>
  <c r="BK13" s="1"/>
  <c r="BG13"/>
  <c r="BL13" s="1"/>
  <c r="BH13"/>
  <c r="BM13" s="1"/>
  <c r="BE13"/>
  <c r="AR251" i="6"/>
  <c r="AR248"/>
  <c r="AR247"/>
  <c r="AR240"/>
  <c r="AR236"/>
  <c r="AR228"/>
  <c r="AR234"/>
  <c r="AR226"/>
  <c r="AR249"/>
  <c r="AR245"/>
  <c r="AR229"/>
  <c r="AR237"/>
  <c r="AR233"/>
  <c r="AR242"/>
  <c r="AR239"/>
  <c r="AR227"/>
  <c r="AR235"/>
  <c r="AR246"/>
  <c r="AR231"/>
  <c r="AR238"/>
  <c r="AR232"/>
  <c r="AR224"/>
  <c r="AR230"/>
  <c r="AR222"/>
  <c r="AR252"/>
  <c r="AR244"/>
  <c r="AR241"/>
  <c r="AR225"/>
  <c r="AR250"/>
  <c r="AR243"/>
  <c r="AR223"/>
  <c r="BE19" i="3"/>
  <c r="BF19"/>
  <c r="BK19" s="1"/>
  <c r="BG19"/>
  <c r="BL19" s="1"/>
  <c r="BH19"/>
  <c r="BM19" s="1"/>
  <c r="BE18"/>
  <c r="BH18"/>
  <c r="BM18" s="1"/>
  <c r="BG18"/>
  <c r="BL18" s="1"/>
  <c r="BF18"/>
  <c r="BK18" s="1"/>
  <c r="BG8"/>
  <c r="BL8" s="1"/>
  <c r="BH8"/>
  <c r="BM8" s="1"/>
  <c r="BE8"/>
  <c r="BF8"/>
  <c r="BK8" s="1"/>
  <c r="BH22"/>
  <c r="BM22" s="1"/>
  <c r="BG22"/>
  <c r="BL22" s="1"/>
  <c r="BF22"/>
  <c r="BK22" s="1"/>
  <c r="BE22"/>
  <c r="BG16"/>
  <c r="BL16" s="1"/>
  <c r="BE16"/>
  <c r="BF16"/>
  <c r="BK16" s="1"/>
  <c r="BH16"/>
  <c r="BM16" s="1"/>
  <c r="BE12"/>
  <c r="BF12"/>
  <c r="BK12" s="1"/>
  <c r="BH12"/>
  <c r="BM12" s="1"/>
  <c r="BG12"/>
  <c r="BL12" s="1"/>
  <c r="BG15"/>
  <c r="BL15" s="1"/>
  <c r="BE15"/>
  <c r="BF15"/>
  <c r="BK15" s="1"/>
  <c r="BH15"/>
  <c r="BM15" s="1"/>
  <c r="N227" i="6"/>
  <c r="N233"/>
  <c r="N222"/>
  <c r="N226"/>
  <c r="N228"/>
  <c r="N219"/>
  <c r="N229"/>
  <c r="N231"/>
  <c r="N225"/>
  <c r="N218"/>
  <c r="N232"/>
  <c r="N217"/>
  <c r="N221"/>
  <c r="N223"/>
  <c r="N220"/>
  <c r="N235"/>
  <c r="N236"/>
  <c r="N224"/>
  <c r="N230"/>
  <c r="N234"/>
  <c r="J230"/>
  <c r="J222"/>
  <c r="J235"/>
  <c r="J236"/>
  <c r="J217"/>
  <c r="J234"/>
  <c r="J227"/>
  <c r="J232"/>
  <c r="J231"/>
  <c r="J220"/>
  <c r="J219"/>
  <c r="J223"/>
  <c r="J225"/>
  <c r="J229"/>
  <c r="J218"/>
  <c r="J224"/>
  <c r="J233"/>
  <c r="J228"/>
  <c r="J226"/>
  <c r="J221"/>
  <c r="AU13" i="3"/>
  <c r="AW13"/>
  <c r="BB13" s="1"/>
  <c r="AV13"/>
  <c r="BA13" s="1"/>
  <c r="AX13"/>
  <c r="BC13" s="1"/>
  <c r="AU21"/>
  <c r="AW21"/>
  <c r="BB21" s="1"/>
  <c r="AV21"/>
  <c r="BA21" s="1"/>
  <c r="AX21"/>
  <c r="BC21" s="1"/>
  <c r="AK247" i="6"/>
  <c r="AK231"/>
  <c r="AK246"/>
  <c r="AK230"/>
  <c r="AK248"/>
  <c r="AK232"/>
  <c r="AK233"/>
  <c r="AK241"/>
  <c r="AK243"/>
  <c r="AK227"/>
  <c r="AK242"/>
  <c r="AK226"/>
  <c r="AK244"/>
  <c r="AK228"/>
  <c r="AK245"/>
  <c r="AK225"/>
  <c r="AK239"/>
  <c r="AK238"/>
  <c r="AK240"/>
  <c r="AK229"/>
  <c r="AK235"/>
  <c r="AK234"/>
  <c r="AK236"/>
  <c r="AK237"/>
  <c r="AK223"/>
  <c r="AK222"/>
  <c r="AK224"/>
  <c r="AK250"/>
  <c r="AK252"/>
  <c r="AK249"/>
  <c r="AK251"/>
  <c r="V276"/>
  <c r="V268"/>
  <c r="V275"/>
  <c r="V272"/>
  <c r="V269"/>
  <c r="V271"/>
  <c r="V270"/>
  <c r="V277"/>
  <c r="V273"/>
  <c r="V274"/>
  <c r="F242"/>
  <c r="F247"/>
  <c r="F238"/>
  <c r="F237"/>
  <c r="F240"/>
  <c r="F243"/>
  <c r="F244"/>
  <c r="F246"/>
  <c r="F239"/>
  <c r="F241"/>
  <c r="F245"/>
  <c r="N245"/>
  <c r="N244"/>
  <c r="N237"/>
  <c r="N247"/>
  <c r="N243"/>
  <c r="N239"/>
  <c r="N240"/>
  <c r="N246"/>
  <c r="N241"/>
  <c r="N238"/>
  <c r="N242"/>
  <c r="AU16" i="3"/>
  <c r="AW16"/>
  <c r="BB16" s="1"/>
  <c r="AV16"/>
  <c r="BA16" s="1"/>
  <c r="AX16"/>
  <c r="BC16" s="1"/>
  <c r="AW5"/>
  <c r="BB5" s="1"/>
  <c r="AV5"/>
  <c r="BA5" s="1"/>
  <c r="AX5"/>
  <c r="BC5" s="1"/>
  <c r="AU5"/>
  <c r="AW9"/>
  <c r="BB9" s="1"/>
  <c r="AU9"/>
  <c r="AX9"/>
  <c r="BC9" s="1"/>
  <c r="AV9"/>
  <c r="BA9" s="1"/>
  <c r="AU11"/>
  <c r="AW11"/>
  <c r="BB11" s="1"/>
  <c r="AX11"/>
  <c r="BC11" s="1"/>
  <c r="AV11"/>
  <c r="BA11" s="1"/>
  <c r="AU14"/>
  <c r="AZ14" s="1"/>
  <c r="AW14"/>
  <c r="BB14" s="1"/>
  <c r="AV14"/>
  <c r="BA14" s="1"/>
  <c r="AX14"/>
  <c r="AV4"/>
  <c r="AW4"/>
  <c r="AU4"/>
  <c r="AX4"/>
  <c r="J237" i="6"/>
  <c r="J238"/>
  <c r="J241"/>
  <c r="J245"/>
  <c r="J246"/>
  <c r="J244"/>
  <c r="J239"/>
  <c r="J240"/>
  <c r="J243"/>
  <c r="J247"/>
  <c r="J242"/>
  <c r="AU18" i="3"/>
  <c r="AW18"/>
  <c r="BB18" s="1"/>
  <c r="AV18"/>
  <c r="BA18" s="1"/>
  <c r="AX18"/>
  <c r="BC18" s="1"/>
  <c r="F234" i="6"/>
  <c r="F229"/>
  <c r="F227"/>
  <c r="F235"/>
  <c r="F217"/>
  <c r="F221"/>
  <c r="F232"/>
  <c r="F236"/>
  <c r="F225"/>
  <c r="F224"/>
  <c r="F222"/>
  <c r="F228"/>
  <c r="F218"/>
  <c r="F230"/>
  <c r="F226"/>
  <c r="F233"/>
  <c r="F219"/>
  <c r="F223"/>
  <c r="F220"/>
  <c r="F231"/>
  <c r="V262"/>
  <c r="V254"/>
  <c r="V265"/>
  <c r="V249"/>
  <c r="V255"/>
  <c r="V260"/>
  <c r="V250"/>
  <c r="V253"/>
  <c r="V251"/>
  <c r="V258"/>
  <c r="V267"/>
  <c r="V248"/>
  <c r="V266"/>
  <c r="V256"/>
  <c r="V261"/>
  <c r="V263"/>
  <c r="V259"/>
  <c r="V264"/>
  <c r="V257"/>
  <c r="V252"/>
  <c r="R241"/>
  <c r="R246"/>
  <c r="R243"/>
  <c r="R238"/>
  <c r="R239"/>
  <c r="R244"/>
  <c r="R247"/>
  <c r="R237"/>
  <c r="R242"/>
  <c r="R245"/>
  <c r="R240"/>
  <c r="AV12" i="3"/>
  <c r="BA12" s="1"/>
  <c r="AW12"/>
  <c r="BB12" s="1"/>
  <c r="AX12"/>
  <c r="BC12" s="1"/>
  <c r="AU12"/>
  <c r="AU7"/>
  <c r="AZ7" s="1"/>
  <c r="AW7"/>
  <c r="BB7" s="1"/>
  <c r="AV7"/>
  <c r="BA7" s="1"/>
  <c r="AX7"/>
  <c r="AW6"/>
  <c r="BB6" s="1"/>
  <c r="AU6"/>
  <c r="AZ6" s="1"/>
  <c r="AV6"/>
  <c r="BA6" s="1"/>
  <c r="AX6"/>
  <c r="AW19"/>
  <c r="BB19" s="1"/>
  <c r="AX19"/>
  <c r="BC19" s="1"/>
  <c r="AU19"/>
  <c r="AV19"/>
  <c r="BA19" s="1"/>
  <c r="AW23"/>
  <c r="BB23" s="1"/>
  <c r="AV23"/>
  <c r="BA23" s="1"/>
  <c r="AU23"/>
  <c r="AX23"/>
  <c r="BC23" s="1"/>
  <c r="AP252" i="6"/>
  <c r="AP236"/>
  <c r="AP250"/>
  <c r="AP234"/>
  <c r="AP251"/>
  <c r="AP239"/>
  <c r="AP241"/>
  <c r="AP231"/>
  <c r="AP248"/>
  <c r="AP232"/>
  <c r="AP246"/>
  <c r="AP230"/>
  <c r="AP243"/>
  <c r="AP223"/>
  <c r="AP233"/>
  <c r="AP245"/>
  <c r="AP228"/>
  <c r="AP226"/>
  <c r="AP237"/>
  <c r="AP229"/>
  <c r="AP224"/>
  <c r="AP222"/>
  <c r="AP249"/>
  <c r="AP244"/>
  <c r="AP242"/>
  <c r="AP235"/>
  <c r="AP225"/>
  <c r="AP238"/>
  <c r="AP227"/>
  <c r="AP247"/>
  <c r="AP240"/>
  <c r="AC270"/>
  <c r="AC276"/>
  <c r="AC273"/>
  <c r="AC271"/>
  <c r="AC269"/>
  <c r="AC274"/>
  <c r="AC272"/>
  <c r="AC278"/>
  <c r="AC275"/>
  <c r="AC277"/>
  <c r="R218"/>
  <c r="R217"/>
  <c r="R220"/>
  <c r="R224"/>
  <c r="R232"/>
  <c r="R228"/>
  <c r="R235"/>
  <c r="R223"/>
  <c r="R233"/>
  <c r="R231"/>
  <c r="R219"/>
  <c r="R226"/>
  <c r="R236"/>
  <c r="R229"/>
  <c r="R234"/>
  <c r="R225"/>
  <c r="R221"/>
  <c r="R230"/>
  <c r="R222"/>
  <c r="O26"/>
  <c r="O28" s="1"/>
  <c r="R227"/>
  <c r="AV17" i="3"/>
  <c r="BA17" s="1"/>
  <c r="AW17"/>
  <c r="BB17" s="1"/>
  <c r="AU17"/>
  <c r="AX17"/>
  <c r="BC17" s="1"/>
  <c r="AU22"/>
  <c r="AW22"/>
  <c r="BB22" s="1"/>
  <c r="AX22"/>
  <c r="BC22" s="1"/>
  <c r="AV22"/>
  <c r="BA22" s="1"/>
  <c r="AU10"/>
  <c r="AW10"/>
  <c r="BB10" s="1"/>
  <c r="AV10"/>
  <c r="BA10" s="1"/>
  <c r="AX10"/>
  <c r="BC10" s="1"/>
  <c r="AW20"/>
  <c r="BB20" s="1"/>
  <c r="AU20"/>
  <c r="AZ20" s="1"/>
  <c r="AX20"/>
  <c r="BC20" s="1"/>
  <c r="AV20"/>
  <c r="AV15"/>
  <c r="BA15" s="1"/>
  <c r="AW15"/>
  <c r="BB15" s="1"/>
  <c r="AU15"/>
  <c r="AX15"/>
  <c r="BC15" s="1"/>
  <c r="AU8"/>
  <c r="AZ8" s="1"/>
  <c r="AW8"/>
  <c r="BB8" s="1"/>
  <c r="AV8"/>
  <c r="BA8" s="1"/>
  <c r="AX8"/>
  <c r="BG23" l="1"/>
  <c r="BL23" s="1"/>
  <c r="BH23"/>
  <c r="BM23" s="1"/>
  <c r="BE23"/>
  <c r="BW24"/>
  <c r="BV24"/>
  <c r="AC294" i="6"/>
  <c r="AC279"/>
  <c r="AC289"/>
  <c r="AC297"/>
  <c r="AC298"/>
  <c r="AC293"/>
  <c r="AC286"/>
  <c r="AC291"/>
  <c r="AC290"/>
  <c r="AC280"/>
  <c r="AC296"/>
  <c r="AC292"/>
  <c r="AC287"/>
  <c r="AC288"/>
  <c r="AC285"/>
  <c r="AC295"/>
  <c r="AC283"/>
  <c r="AC284"/>
  <c r="AC282"/>
  <c r="AC281"/>
  <c r="BJ15" i="3"/>
  <c r="BN15" s="1"/>
  <c r="BI15"/>
  <c r="BJ16"/>
  <c r="BN16" s="1"/>
  <c r="BI16"/>
  <c r="BJ10"/>
  <c r="BN10" s="1"/>
  <c r="BI10"/>
  <c r="BI12"/>
  <c r="BJ12"/>
  <c r="BN12" s="1"/>
  <c r="BI18"/>
  <c r="BJ18"/>
  <c r="BN18" s="1"/>
  <c r="BJ13"/>
  <c r="BN13" s="1"/>
  <c r="BI13"/>
  <c r="BJ20"/>
  <c r="BN20" s="1"/>
  <c r="BI20"/>
  <c r="BK4"/>
  <c r="BI22"/>
  <c r="BJ22"/>
  <c r="BN22" s="1"/>
  <c r="BJ9"/>
  <c r="BN9" s="1"/>
  <c r="BI9"/>
  <c r="BJ14"/>
  <c r="BN14" s="1"/>
  <c r="BI14"/>
  <c r="AR255" i="6"/>
  <c r="AR269"/>
  <c r="AR274"/>
  <c r="AR263"/>
  <c r="AR259"/>
  <c r="AR279"/>
  <c r="AR260"/>
  <c r="AR257"/>
  <c r="AR280"/>
  <c r="AR267"/>
  <c r="AR270"/>
  <c r="AR262"/>
  <c r="AR254"/>
  <c r="AR264"/>
  <c r="AR277"/>
  <c r="AR278"/>
  <c r="AR276"/>
  <c r="AR261"/>
  <c r="AR275"/>
  <c r="AR273"/>
  <c r="AR282"/>
  <c r="AR253"/>
  <c r="AR272"/>
  <c r="AR266"/>
  <c r="AR258"/>
  <c r="AR268"/>
  <c r="AR256"/>
  <c r="AR271"/>
  <c r="AR265"/>
  <c r="AR281"/>
  <c r="BI21" i="3"/>
  <c r="BJ21"/>
  <c r="BN21" s="1"/>
  <c r="BL4"/>
  <c r="BJ19"/>
  <c r="BN19" s="1"/>
  <c r="BI19"/>
  <c r="BI17"/>
  <c r="BJ17"/>
  <c r="BN17" s="1"/>
  <c r="AM268" i="6"/>
  <c r="AM273"/>
  <c r="AM264"/>
  <c r="AM257"/>
  <c r="AM258"/>
  <c r="AM254"/>
  <c r="AM259"/>
  <c r="AM272"/>
  <c r="AM266"/>
  <c r="AM261"/>
  <c r="AM253"/>
  <c r="AM265"/>
  <c r="AM276"/>
  <c r="AM281"/>
  <c r="AM275"/>
  <c r="AM267"/>
  <c r="AM256"/>
  <c r="AM274"/>
  <c r="AM282"/>
  <c r="AM263"/>
  <c r="AM278"/>
  <c r="AM255"/>
  <c r="AM279"/>
  <c r="AM271"/>
  <c r="AM277"/>
  <c r="AM270"/>
  <c r="AM262"/>
  <c r="AM280"/>
  <c r="AM260"/>
  <c r="AM269"/>
  <c r="BI6" i="3"/>
  <c r="BJ6"/>
  <c r="BN6" s="1"/>
  <c r="BJ8"/>
  <c r="BN8" s="1"/>
  <c r="BI8"/>
  <c r="BJ7"/>
  <c r="BN7" s="1"/>
  <c r="BI7"/>
  <c r="BJ11"/>
  <c r="BN11" s="1"/>
  <c r="BI11"/>
  <c r="BJ5"/>
  <c r="BN5" s="1"/>
  <c r="BI5"/>
  <c r="BI4"/>
  <c r="BJ4"/>
  <c r="AY8"/>
  <c r="BC8"/>
  <c r="BD8" s="1"/>
  <c r="AZ12"/>
  <c r="BD12" s="1"/>
  <c r="AY12"/>
  <c r="R275" i="6"/>
  <c r="R272"/>
  <c r="R274"/>
  <c r="R271"/>
  <c r="R268"/>
  <c r="R269"/>
  <c r="R277"/>
  <c r="R270"/>
  <c r="R273"/>
  <c r="R276"/>
  <c r="V294"/>
  <c r="V286"/>
  <c r="V278"/>
  <c r="V285"/>
  <c r="V287"/>
  <c r="V296"/>
  <c r="V284"/>
  <c r="V293"/>
  <c r="V291"/>
  <c r="V292"/>
  <c r="V282"/>
  <c r="V283"/>
  <c r="V289"/>
  <c r="V290"/>
  <c r="V280"/>
  <c r="V281"/>
  <c r="V279"/>
  <c r="V288"/>
  <c r="V295"/>
  <c r="V297"/>
  <c r="BC4" i="3"/>
  <c r="N276" i="6"/>
  <c r="N277"/>
  <c r="N271"/>
  <c r="N268"/>
  <c r="N269"/>
  <c r="N273"/>
  <c r="N270"/>
  <c r="N272"/>
  <c r="N275"/>
  <c r="N274"/>
  <c r="V306"/>
  <c r="V298"/>
  <c r="V303"/>
  <c r="V304"/>
  <c r="V301"/>
  <c r="V307"/>
  <c r="V302"/>
  <c r="V300"/>
  <c r="V299"/>
  <c r="V308"/>
  <c r="V305"/>
  <c r="AK271"/>
  <c r="AK255"/>
  <c r="AK270"/>
  <c r="AK254"/>
  <c r="AK268"/>
  <c r="AK281"/>
  <c r="AK261"/>
  <c r="AK267"/>
  <c r="AK282"/>
  <c r="AK266"/>
  <c r="AK280"/>
  <c r="AK264"/>
  <c r="AK265"/>
  <c r="AK269"/>
  <c r="AK279"/>
  <c r="AK278"/>
  <c r="AK276"/>
  <c r="AK253"/>
  <c r="AK275"/>
  <c r="AK274"/>
  <c r="AK272"/>
  <c r="AK277"/>
  <c r="AK263"/>
  <c r="AK262"/>
  <c r="AK260"/>
  <c r="AK273"/>
  <c r="AK258"/>
  <c r="AK256"/>
  <c r="AK257"/>
  <c r="AK259"/>
  <c r="AZ21" i="3"/>
  <c r="BD21" s="1"/>
  <c r="AY21"/>
  <c r="AZ22"/>
  <c r="BD22" s="1"/>
  <c r="AY22"/>
  <c r="AY17"/>
  <c r="AZ17"/>
  <c r="BD17" s="1"/>
  <c r="R261" i="6"/>
  <c r="R253"/>
  <c r="R256"/>
  <c r="R260"/>
  <c r="R250"/>
  <c r="R259"/>
  <c r="R249"/>
  <c r="R254"/>
  <c r="R267"/>
  <c r="R264"/>
  <c r="R252"/>
  <c r="R257"/>
  <c r="R265"/>
  <c r="R255"/>
  <c r="R248"/>
  <c r="R266"/>
  <c r="R262"/>
  <c r="R251"/>
  <c r="R258"/>
  <c r="R263"/>
  <c r="AY23" i="3"/>
  <c r="AZ23"/>
  <c r="BD23" s="1"/>
  <c r="J272" i="6"/>
  <c r="J277"/>
  <c r="J270"/>
  <c r="J271"/>
  <c r="J276"/>
  <c r="J269"/>
  <c r="J275"/>
  <c r="J268"/>
  <c r="J273"/>
  <c r="J274"/>
  <c r="AZ4" i="3"/>
  <c r="AY4"/>
  <c r="AZ5"/>
  <c r="BD5" s="1"/>
  <c r="AY5"/>
  <c r="BA4"/>
  <c r="N253" i="6"/>
  <c r="N267"/>
  <c r="N254"/>
  <c r="N258"/>
  <c r="N252"/>
  <c r="N264"/>
  <c r="N259"/>
  <c r="N250"/>
  <c r="N263"/>
  <c r="N257"/>
  <c r="N256"/>
  <c r="N251"/>
  <c r="N255"/>
  <c r="N260"/>
  <c r="N249"/>
  <c r="N248"/>
  <c r="N262"/>
  <c r="N266"/>
  <c r="N261"/>
  <c r="N265"/>
  <c r="AP276"/>
  <c r="AP260"/>
  <c r="AP274"/>
  <c r="AP258"/>
  <c r="AP259"/>
  <c r="AP269"/>
  <c r="AP265"/>
  <c r="AP261"/>
  <c r="AP272"/>
  <c r="AP256"/>
  <c r="AP270"/>
  <c r="AP254"/>
  <c r="AP279"/>
  <c r="AP253"/>
  <c r="AP257"/>
  <c r="AP268"/>
  <c r="AP266"/>
  <c r="AP263"/>
  <c r="AP271"/>
  <c r="AP264"/>
  <c r="AP262"/>
  <c r="AP255"/>
  <c r="AP277"/>
  <c r="AP282"/>
  <c r="AP275"/>
  <c r="AP281"/>
  <c r="AP267"/>
  <c r="AP273"/>
  <c r="AP280"/>
  <c r="AP278"/>
  <c r="AZ19" i="3"/>
  <c r="BD19" s="1"/>
  <c r="AY19"/>
  <c r="AY6"/>
  <c r="BC6"/>
  <c r="BD6" s="1"/>
  <c r="BB4"/>
  <c r="AY14"/>
  <c r="BC14"/>
  <c r="BD14" s="1"/>
  <c r="AZ11"/>
  <c r="BD11" s="1"/>
  <c r="AY11"/>
  <c r="AZ9"/>
  <c r="BD9" s="1"/>
  <c r="AY9"/>
  <c r="AZ16"/>
  <c r="BD16" s="1"/>
  <c r="AY16"/>
  <c r="F274" i="6"/>
  <c r="F276"/>
  <c r="F275"/>
  <c r="F269"/>
  <c r="F268"/>
  <c r="F272"/>
  <c r="F273"/>
  <c r="F271"/>
  <c r="F277"/>
  <c r="F270"/>
  <c r="AZ13" i="3"/>
  <c r="BD13" s="1"/>
  <c r="AY13"/>
  <c r="AZ18"/>
  <c r="BD18" s="1"/>
  <c r="AY18"/>
  <c r="AZ15"/>
  <c r="BD15" s="1"/>
  <c r="AY15"/>
  <c r="AY20"/>
  <c r="BA20"/>
  <c r="BD20" s="1"/>
  <c r="AZ10"/>
  <c r="BD10" s="1"/>
  <c r="AY10"/>
  <c r="AC301" i="6"/>
  <c r="AC306"/>
  <c r="AC300"/>
  <c r="AC307"/>
  <c r="AC308"/>
  <c r="AC304"/>
  <c r="AC309"/>
  <c r="AC302"/>
  <c r="AC299"/>
  <c r="AC303"/>
  <c r="AC305"/>
  <c r="AY7" i="3"/>
  <c r="BC7"/>
  <c r="BD7" s="1"/>
  <c r="F260" i="6"/>
  <c r="F251"/>
  <c r="F256"/>
  <c r="F263"/>
  <c r="F265"/>
  <c r="F266"/>
  <c r="F255"/>
  <c r="F259"/>
  <c r="F253"/>
  <c r="F254"/>
  <c r="F258"/>
  <c r="F267"/>
  <c r="F257"/>
  <c r="F262"/>
  <c r="F261"/>
  <c r="F250"/>
  <c r="F249"/>
  <c r="F252"/>
  <c r="F248"/>
  <c r="F264"/>
  <c r="J267"/>
  <c r="J253"/>
  <c r="J265"/>
  <c r="J255"/>
  <c r="J248"/>
  <c r="J257"/>
  <c r="J261"/>
  <c r="J252"/>
  <c r="J258"/>
  <c r="J254"/>
  <c r="J256"/>
  <c r="J263"/>
  <c r="J264"/>
  <c r="J259"/>
  <c r="J266"/>
  <c r="J260"/>
  <c r="J262"/>
  <c r="J251"/>
  <c r="J249"/>
  <c r="J250"/>
  <c r="BI23" i="3" l="1"/>
  <c r="BJ23"/>
  <c r="BN23" s="1"/>
  <c r="BY11"/>
  <c r="BN4"/>
  <c r="BY4" s="1"/>
  <c r="BW25"/>
  <c r="BV25"/>
  <c r="BY16"/>
  <c r="AU24"/>
  <c r="AW24"/>
  <c r="BB24" s="1"/>
  <c r="AV24"/>
  <c r="BA24" s="1"/>
  <c r="AX24"/>
  <c r="BC24" s="1"/>
  <c r="BE24"/>
  <c r="BG24"/>
  <c r="BL24" s="1"/>
  <c r="BF24"/>
  <c r="BK24" s="1"/>
  <c r="BH24"/>
  <c r="BM24" s="1"/>
  <c r="AC329" i="6"/>
  <c r="AC316"/>
  <c r="AC321"/>
  <c r="AC326"/>
  <c r="AC324"/>
  <c r="AC317"/>
  <c r="AC312"/>
  <c r="AC322"/>
  <c r="AC323"/>
  <c r="AC310"/>
  <c r="AC315"/>
  <c r="AC328"/>
  <c r="AC314"/>
  <c r="AC327"/>
  <c r="AC319"/>
  <c r="AC313"/>
  <c r="AC320"/>
  <c r="AC325"/>
  <c r="AC318"/>
  <c r="AC311"/>
  <c r="BY23" i="3"/>
  <c r="BY18"/>
  <c r="BY12"/>
  <c r="BY10"/>
  <c r="BY22"/>
  <c r="BO8"/>
  <c r="DJ8" s="1"/>
  <c r="BY14"/>
  <c r="AR311" i="6"/>
  <c r="AR304"/>
  <c r="AR307"/>
  <c r="AR296"/>
  <c r="AR292"/>
  <c r="AR284"/>
  <c r="AR290"/>
  <c r="AR285"/>
  <c r="AR313"/>
  <c r="AR308"/>
  <c r="AR300"/>
  <c r="AR305"/>
  <c r="AR301"/>
  <c r="AR283"/>
  <c r="AR297"/>
  <c r="AR293"/>
  <c r="AR303"/>
  <c r="AR287"/>
  <c r="AR295"/>
  <c r="AR302"/>
  <c r="AR291"/>
  <c r="AR294"/>
  <c r="AR288"/>
  <c r="AR310"/>
  <c r="AR286"/>
  <c r="AR309"/>
  <c r="AR289"/>
  <c r="AR306"/>
  <c r="AR298"/>
  <c r="AR299"/>
  <c r="AR312"/>
  <c r="BY13" i="3"/>
  <c r="BY7"/>
  <c r="BY8"/>
  <c r="BY21"/>
  <c r="BY9"/>
  <c r="BY15"/>
  <c r="BY5"/>
  <c r="BY6"/>
  <c r="AM306" i="6"/>
  <c r="AM295"/>
  <c r="AM294"/>
  <c r="AM300"/>
  <c r="AM303"/>
  <c r="AM307"/>
  <c r="AM289"/>
  <c r="AM299"/>
  <c r="AM291"/>
  <c r="AM304"/>
  <c r="AM311"/>
  <c r="AM296"/>
  <c r="AM287"/>
  <c r="AM309"/>
  <c r="AM292"/>
  <c r="AM284"/>
  <c r="AM313"/>
  <c r="AM302"/>
  <c r="AM298"/>
  <c r="AM290"/>
  <c r="AM293"/>
  <c r="AM283"/>
  <c r="AM310"/>
  <c r="AM285"/>
  <c r="AM305"/>
  <c r="AM288"/>
  <c r="AM308"/>
  <c r="AM286"/>
  <c r="AM297"/>
  <c r="AM301"/>
  <c r="AM312"/>
  <c r="BY17" i="3"/>
  <c r="BY19"/>
  <c r="BY20"/>
  <c r="BX16"/>
  <c r="BX23"/>
  <c r="BO11"/>
  <c r="DJ11" s="1"/>
  <c r="BX10"/>
  <c r="BO9"/>
  <c r="DJ9" s="1"/>
  <c r="BX21"/>
  <c r="BO14"/>
  <c r="DJ14" s="1"/>
  <c r="BO10"/>
  <c r="BO15"/>
  <c r="BX15"/>
  <c r="BX13"/>
  <c r="BO13"/>
  <c r="AP312" i="6"/>
  <c r="AP296"/>
  <c r="AP310"/>
  <c r="AP294"/>
  <c r="AP299"/>
  <c r="AP295"/>
  <c r="AP305"/>
  <c r="AP287"/>
  <c r="AP308"/>
  <c r="AP288"/>
  <c r="AP298"/>
  <c r="AP291"/>
  <c r="AP285"/>
  <c r="AP303"/>
  <c r="AP304"/>
  <c r="AP284"/>
  <c r="AP290"/>
  <c r="AP283"/>
  <c r="AP313"/>
  <c r="AP301"/>
  <c r="AP300"/>
  <c r="AP306"/>
  <c r="AP286"/>
  <c r="AP311"/>
  <c r="AP297"/>
  <c r="AP293"/>
  <c r="AP302"/>
  <c r="AP307"/>
  <c r="AP309"/>
  <c r="AP292"/>
  <c r="AP289"/>
  <c r="BO16" i="3"/>
  <c r="BO6"/>
  <c r="BX6"/>
  <c r="BO23"/>
  <c r="BX22"/>
  <c r="BO22"/>
  <c r="BO21"/>
  <c r="V328" i="6"/>
  <c r="V320"/>
  <c r="V312"/>
  <c r="V317"/>
  <c r="V323"/>
  <c r="V324"/>
  <c r="V314"/>
  <c r="V313"/>
  <c r="V315"/>
  <c r="V310"/>
  <c r="V311"/>
  <c r="V322"/>
  <c r="V309"/>
  <c r="V318"/>
  <c r="V325"/>
  <c r="V327"/>
  <c r="V326"/>
  <c r="V319"/>
  <c r="V316"/>
  <c r="V321"/>
  <c r="R303"/>
  <c r="R302"/>
  <c r="R298"/>
  <c r="R299"/>
  <c r="R306"/>
  <c r="R307"/>
  <c r="R304"/>
  <c r="R305"/>
  <c r="R308"/>
  <c r="R301"/>
  <c r="R300"/>
  <c r="F283"/>
  <c r="F292"/>
  <c r="F285"/>
  <c r="F278"/>
  <c r="F291"/>
  <c r="F295"/>
  <c r="F294"/>
  <c r="F286"/>
  <c r="F287"/>
  <c r="F284"/>
  <c r="F280"/>
  <c r="F296"/>
  <c r="F297"/>
  <c r="F290"/>
  <c r="F282"/>
  <c r="F281"/>
  <c r="F293"/>
  <c r="F289"/>
  <c r="F279"/>
  <c r="F288"/>
  <c r="BX11" i="3"/>
  <c r="BX7"/>
  <c r="BO7"/>
  <c r="AC332" i="6"/>
  <c r="AC333"/>
  <c r="AC338"/>
  <c r="AC331"/>
  <c r="AC334"/>
  <c r="AC330"/>
  <c r="AC337"/>
  <c r="AC335"/>
  <c r="AC336"/>
  <c r="AC339"/>
  <c r="BX18" i="3"/>
  <c r="BO18"/>
  <c r="BX9"/>
  <c r="BX14"/>
  <c r="BX19"/>
  <c r="BO19"/>
  <c r="N286" i="6"/>
  <c r="N281"/>
  <c r="N285"/>
  <c r="N279"/>
  <c r="N287"/>
  <c r="N283"/>
  <c r="N289"/>
  <c r="N296"/>
  <c r="N295"/>
  <c r="N294"/>
  <c r="N292"/>
  <c r="N288"/>
  <c r="N282"/>
  <c r="N278"/>
  <c r="N284"/>
  <c r="N291"/>
  <c r="N290"/>
  <c r="N293"/>
  <c r="N280"/>
  <c r="N297"/>
  <c r="J299"/>
  <c r="J298"/>
  <c r="J302"/>
  <c r="J306"/>
  <c r="J303"/>
  <c r="J301"/>
  <c r="J307"/>
  <c r="J300"/>
  <c r="J305"/>
  <c r="J308"/>
  <c r="J304"/>
  <c r="R297"/>
  <c r="R289"/>
  <c r="R281"/>
  <c r="R280"/>
  <c r="R292"/>
  <c r="R295"/>
  <c r="R285"/>
  <c r="R288"/>
  <c r="R284"/>
  <c r="R283"/>
  <c r="R290"/>
  <c r="R293"/>
  <c r="R294"/>
  <c r="R291"/>
  <c r="R279"/>
  <c r="R286"/>
  <c r="R282"/>
  <c r="R287"/>
  <c r="R296"/>
  <c r="R278"/>
  <c r="BO17" i="3"/>
  <c r="BX17"/>
  <c r="V334" i="6"/>
  <c r="V333"/>
  <c r="V336"/>
  <c r="V329"/>
  <c r="V335"/>
  <c r="V332"/>
  <c r="V330"/>
  <c r="V331"/>
  <c r="V338"/>
  <c r="V337"/>
  <c r="N301"/>
  <c r="N302"/>
  <c r="N308"/>
  <c r="N304"/>
  <c r="N300"/>
  <c r="N303"/>
  <c r="N307"/>
  <c r="N306"/>
  <c r="N305"/>
  <c r="N298"/>
  <c r="N299"/>
  <c r="BX12" i="3"/>
  <c r="BO12"/>
  <c r="AK307" i="6"/>
  <c r="AK291"/>
  <c r="AK306"/>
  <c r="AK290"/>
  <c r="AK304"/>
  <c r="AK288"/>
  <c r="AK285"/>
  <c r="AK305"/>
  <c r="AK303"/>
  <c r="AK287"/>
  <c r="AK302"/>
  <c r="AK286"/>
  <c r="AK300"/>
  <c r="AK284"/>
  <c r="AK309"/>
  <c r="AK289"/>
  <c r="AK283"/>
  <c r="AK312"/>
  <c r="AK313"/>
  <c r="AK311"/>
  <c r="AK310"/>
  <c r="AK308"/>
  <c r="AK297"/>
  <c r="AK299"/>
  <c r="AK298"/>
  <c r="AK296"/>
  <c r="AK293"/>
  <c r="AK292"/>
  <c r="AK301"/>
  <c r="AK295"/>
  <c r="AK294"/>
  <c r="J296"/>
  <c r="J281"/>
  <c r="J280"/>
  <c r="J279"/>
  <c r="J282"/>
  <c r="J292"/>
  <c r="J278"/>
  <c r="J294"/>
  <c r="J297"/>
  <c r="J284"/>
  <c r="J295"/>
  <c r="J287"/>
  <c r="J288"/>
  <c r="J283"/>
  <c r="J289"/>
  <c r="J285"/>
  <c r="J290"/>
  <c r="J286"/>
  <c r="J293"/>
  <c r="J291"/>
  <c r="BO20" i="3"/>
  <c r="BX20"/>
  <c r="F298" i="6"/>
  <c r="F302"/>
  <c r="F300"/>
  <c r="F301"/>
  <c r="F304"/>
  <c r="F305"/>
  <c r="F299"/>
  <c r="F306"/>
  <c r="F307"/>
  <c r="F308"/>
  <c r="F303"/>
  <c r="BO5" i="3"/>
  <c r="BX5"/>
  <c r="BD4"/>
  <c r="BX8"/>
  <c r="A5"/>
  <c r="AV25" l="1"/>
  <c r="BA25" s="1"/>
  <c r="AU25"/>
  <c r="AX25"/>
  <c r="BC25" s="1"/>
  <c r="AW25"/>
  <c r="BB25" s="1"/>
  <c r="BW26"/>
  <c r="BV26"/>
  <c r="BI24"/>
  <c r="BJ24"/>
  <c r="BN24" s="1"/>
  <c r="AZ24"/>
  <c r="BD24" s="1"/>
  <c r="AY24"/>
  <c r="BF25"/>
  <c r="BK25" s="1"/>
  <c r="BE25"/>
  <c r="BG25"/>
  <c r="BL25" s="1"/>
  <c r="BH25"/>
  <c r="BM25" s="1"/>
  <c r="AC347" i="6"/>
  <c r="AC355"/>
  <c r="AC356"/>
  <c r="AC346"/>
  <c r="AC357"/>
  <c r="AC353"/>
  <c r="AC345"/>
  <c r="AC354"/>
  <c r="AC351"/>
  <c r="AC342"/>
  <c r="AC359"/>
  <c r="AC343"/>
  <c r="AC352"/>
  <c r="AC348"/>
  <c r="AC349"/>
  <c r="AC358"/>
  <c r="AC344"/>
  <c r="AC341"/>
  <c r="AC350"/>
  <c r="AC340"/>
  <c r="DF14" i="3"/>
  <c r="DF8"/>
  <c r="DF16"/>
  <c r="DF23"/>
  <c r="AM338" i="6"/>
  <c r="AM327"/>
  <c r="AM318"/>
  <c r="AM328"/>
  <c r="AM319"/>
  <c r="AM321"/>
  <c r="AM336"/>
  <c r="AM340"/>
  <c r="AM331"/>
  <c r="AM332"/>
  <c r="AM335"/>
  <c r="AM314"/>
  <c r="AM330"/>
  <c r="AM326"/>
  <c r="AM316"/>
  <c r="AM322"/>
  <c r="AM325"/>
  <c r="AM315"/>
  <c r="AM334"/>
  <c r="AM320"/>
  <c r="AM341"/>
  <c r="AM343"/>
  <c r="AM324"/>
  <c r="AM329"/>
  <c r="AM342"/>
  <c r="AM317"/>
  <c r="AM337"/>
  <c r="AM339"/>
  <c r="AM323"/>
  <c r="AM333"/>
  <c r="AR331"/>
  <c r="AR342"/>
  <c r="AR341"/>
  <c r="AR320"/>
  <c r="AR322"/>
  <c r="AR324"/>
  <c r="AR328"/>
  <c r="AR316"/>
  <c r="AR343"/>
  <c r="AR335"/>
  <c r="AR325"/>
  <c r="AR326"/>
  <c r="AR317"/>
  <c r="AR327"/>
  <c r="AR330"/>
  <c r="AR332"/>
  <c r="AR338"/>
  <c r="AR319"/>
  <c r="AR315"/>
  <c r="AR329"/>
  <c r="AR339"/>
  <c r="AR337"/>
  <c r="AR334"/>
  <c r="AR336"/>
  <c r="AR321"/>
  <c r="AR333"/>
  <c r="AR340"/>
  <c r="AR318"/>
  <c r="AR314"/>
  <c r="AR323"/>
  <c r="DF11" i="3"/>
  <c r="DK14"/>
  <c r="DF22"/>
  <c r="DF9"/>
  <c r="DF17"/>
  <c r="DF20"/>
  <c r="DJ5"/>
  <c r="DK5" s="1"/>
  <c r="DJ15"/>
  <c r="DK15" s="1"/>
  <c r="DJ20"/>
  <c r="DK20" s="1"/>
  <c r="DJ12"/>
  <c r="DK12" s="1"/>
  <c r="DJ17"/>
  <c r="DK17" s="1"/>
  <c r="DF19"/>
  <c r="DJ18"/>
  <c r="DK18" s="1"/>
  <c r="DF7"/>
  <c r="R331" i="6"/>
  <c r="R332"/>
  <c r="R337"/>
  <c r="R336"/>
  <c r="R335"/>
  <c r="R334"/>
  <c r="R333"/>
  <c r="R338"/>
  <c r="R330"/>
  <c r="R329"/>
  <c r="DJ23" i="3"/>
  <c r="DK23" s="1"/>
  <c r="DJ10"/>
  <c r="DK10" s="1"/>
  <c r="V366" i="6"/>
  <c r="V369"/>
  <c r="V363"/>
  <c r="V368"/>
  <c r="V365"/>
  <c r="V361"/>
  <c r="V364"/>
  <c r="V362"/>
  <c r="V367"/>
  <c r="V359"/>
  <c r="V360"/>
  <c r="J336"/>
  <c r="J330"/>
  <c r="J335"/>
  <c r="J332"/>
  <c r="J334"/>
  <c r="J329"/>
  <c r="J338"/>
  <c r="J333"/>
  <c r="J337"/>
  <c r="J331"/>
  <c r="DJ7" i="3"/>
  <c r="DK7" s="1"/>
  <c r="DJ6"/>
  <c r="DK6" s="1"/>
  <c r="A6"/>
  <c r="AK335" i="6"/>
  <c r="AK319"/>
  <c r="AK334"/>
  <c r="AK318"/>
  <c r="AK332"/>
  <c r="AK316"/>
  <c r="AK325"/>
  <c r="AK331"/>
  <c r="AK342"/>
  <c r="AK322"/>
  <c r="AK328"/>
  <c r="AK317"/>
  <c r="AK321"/>
  <c r="AK327"/>
  <c r="AK338"/>
  <c r="AK314"/>
  <c r="AK324"/>
  <c r="AK341"/>
  <c r="AK343"/>
  <c r="AK323"/>
  <c r="AK330"/>
  <c r="AK340"/>
  <c r="AK320"/>
  <c r="AK333"/>
  <c r="AK326"/>
  <c r="AK336"/>
  <c r="AK339"/>
  <c r="AK329"/>
  <c r="AK315"/>
  <c r="AK337"/>
  <c r="DF12" i="3"/>
  <c r="R321" i="6"/>
  <c r="R313"/>
  <c r="R320"/>
  <c r="R310"/>
  <c r="R314"/>
  <c r="R319"/>
  <c r="R309"/>
  <c r="R318"/>
  <c r="R327"/>
  <c r="R328"/>
  <c r="R317"/>
  <c r="R324"/>
  <c r="R325"/>
  <c r="R315"/>
  <c r="R312"/>
  <c r="R316"/>
  <c r="R311"/>
  <c r="R326"/>
  <c r="R322"/>
  <c r="R323"/>
  <c r="BX4" i="3"/>
  <c r="DF18"/>
  <c r="AC370" i="6"/>
  <c r="AC360"/>
  <c r="AC361"/>
  <c r="AC362"/>
  <c r="AC366"/>
  <c r="AC365"/>
  <c r="AC369"/>
  <c r="AC368"/>
  <c r="AC363"/>
  <c r="AC364"/>
  <c r="AC367"/>
  <c r="V356"/>
  <c r="V348"/>
  <c r="V340"/>
  <c r="V345"/>
  <c r="V347"/>
  <c r="V350"/>
  <c r="V357"/>
  <c r="V355"/>
  <c r="V358"/>
  <c r="V353"/>
  <c r="V351"/>
  <c r="V346"/>
  <c r="V354"/>
  <c r="V344"/>
  <c r="V349"/>
  <c r="V343"/>
  <c r="V341"/>
  <c r="V339"/>
  <c r="V342"/>
  <c r="V352"/>
  <c r="AP332"/>
  <c r="AP316"/>
  <c r="AP330"/>
  <c r="AP314"/>
  <c r="AP315"/>
  <c r="AP341"/>
  <c r="AP321"/>
  <c r="AP340"/>
  <c r="AP320"/>
  <c r="AP326"/>
  <c r="AP331"/>
  <c r="AP327"/>
  <c r="AP319"/>
  <c r="AP336"/>
  <c r="AP342"/>
  <c r="AP322"/>
  <c r="AP323"/>
  <c r="AP325"/>
  <c r="AP333"/>
  <c r="AP328"/>
  <c r="AP338"/>
  <c r="AP318"/>
  <c r="AP343"/>
  <c r="AP337"/>
  <c r="AP317"/>
  <c r="AP335"/>
  <c r="AP324"/>
  <c r="AP329"/>
  <c r="AP334"/>
  <c r="AP339"/>
  <c r="DJ13" i="3"/>
  <c r="DK13" s="1"/>
  <c r="N335" i="6"/>
  <c r="N334"/>
  <c r="N338"/>
  <c r="N337"/>
  <c r="N336"/>
  <c r="N329"/>
  <c r="N330"/>
  <c r="N333"/>
  <c r="N332"/>
  <c r="N331"/>
  <c r="DJ19" i="3"/>
  <c r="DK19" s="1"/>
  <c r="F326" i="6"/>
  <c r="F325"/>
  <c r="F323"/>
  <c r="F311"/>
  <c r="F327"/>
  <c r="F324"/>
  <c r="F312"/>
  <c r="F315"/>
  <c r="F321"/>
  <c r="F320"/>
  <c r="F310"/>
  <c r="F328"/>
  <c r="F313"/>
  <c r="F319"/>
  <c r="F316"/>
  <c r="F314"/>
  <c r="F322"/>
  <c r="F317"/>
  <c r="F318"/>
  <c r="F309"/>
  <c r="DF21" i="3"/>
  <c r="DJ21"/>
  <c r="DK21" s="1"/>
  <c r="DJ16"/>
  <c r="DK16" s="1"/>
  <c r="DF5"/>
  <c r="DK9"/>
  <c r="F329" i="6"/>
  <c r="F335"/>
  <c r="F338"/>
  <c r="F330"/>
  <c r="F334"/>
  <c r="F333"/>
  <c r="F331"/>
  <c r="F332"/>
  <c r="F336"/>
  <c r="F337"/>
  <c r="J309"/>
  <c r="J310"/>
  <c r="J311"/>
  <c r="J313"/>
  <c r="J323"/>
  <c r="J321"/>
  <c r="J318"/>
  <c r="J320"/>
  <c r="J328"/>
  <c r="J319"/>
  <c r="J317"/>
  <c r="J312"/>
  <c r="J325"/>
  <c r="J314"/>
  <c r="J326"/>
  <c r="J315"/>
  <c r="J322"/>
  <c r="J327"/>
  <c r="J324"/>
  <c r="J316"/>
  <c r="DK8" i="3"/>
  <c r="BO4"/>
  <c r="N327" i="6"/>
  <c r="N316"/>
  <c r="N322"/>
  <c r="N326"/>
  <c r="N320"/>
  <c r="N325"/>
  <c r="N321"/>
  <c r="N328"/>
  <c r="N319"/>
  <c r="N317"/>
  <c r="N313"/>
  <c r="N323"/>
  <c r="N309"/>
  <c r="N314"/>
  <c r="N312"/>
  <c r="N324"/>
  <c r="N315"/>
  <c r="N311"/>
  <c r="N318"/>
  <c r="N310"/>
  <c r="DJ22" i="3"/>
  <c r="DK22" s="1"/>
  <c r="DF6"/>
  <c r="DF13"/>
  <c r="DF15"/>
  <c r="DK11"/>
  <c r="DF10"/>
  <c r="BJ25" l="1"/>
  <c r="BN25" s="1"/>
  <c r="BI25"/>
  <c r="BW27"/>
  <c r="BV27"/>
  <c r="BO24"/>
  <c r="DJ24" s="1"/>
  <c r="BX24"/>
  <c r="AX26"/>
  <c r="BC26" s="1"/>
  <c r="AU26"/>
  <c r="AV26"/>
  <c r="BA26" s="1"/>
  <c r="AW26"/>
  <c r="BB26" s="1"/>
  <c r="BG26"/>
  <c r="BL26" s="1"/>
  <c r="BF26"/>
  <c r="BK26" s="1"/>
  <c r="BH26"/>
  <c r="BM26" s="1"/>
  <c r="BE26"/>
  <c r="AZ25"/>
  <c r="BD25" s="1"/>
  <c r="AY25"/>
  <c r="BY24"/>
  <c r="AR353" i="6"/>
  <c r="AR346"/>
  <c r="AR366"/>
  <c r="AR359"/>
  <c r="AR368"/>
  <c r="AR357"/>
  <c r="AR354"/>
  <c r="AR349"/>
  <c r="AR362"/>
  <c r="AR356"/>
  <c r="AR361"/>
  <c r="AR364"/>
  <c r="AR358"/>
  <c r="AR360"/>
  <c r="AR348"/>
  <c r="AR351"/>
  <c r="AR350"/>
  <c r="AR355"/>
  <c r="AR365"/>
  <c r="AR352"/>
  <c r="AR367"/>
  <c r="AR369"/>
  <c r="AR363"/>
  <c r="AR345"/>
  <c r="AR344"/>
  <c r="AR347"/>
  <c r="AM354"/>
  <c r="AM368"/>
  <c r="AM345"/>
  <c r="AM355"/>
  <c r="AM369"/>
  <c r="AM353"/>
  <c r="AM347"/>
  <c r="AM350"/>
  <c r="AM356"/>
  <c r="AM357"/>
  <c r="AM344"/>
  <c r="AM367"/>
  <c r="AM362"/>
  <c r="AM358"/>
  <c r="AM365"/>
  <c r="AM348"/>
  <c r="AM364"/>
  <c r="AM351"/>
  <c r="AM363"/>
  <c r="AM352"/>
  <c r="AM360"/>
  <c r="AM366"/>
  <c r="AM349"/>
  <c r="AM359"/>
  <c r="AM346"/>
  <c r="AM361"/>
  <c r="N367"/>
  <c r="N368"/>
  <c r="N364"/>
  <c r="N362"/>
  <c r="N363"/>
  <c r="N369"/>
  <c r="N361"/>
  <c r="N365"/>
  <c r="N359"/>
  <c r="N360"/>
  <c r="N366"/>
  <c r="AK359"/>
  <c r="AK366"/>
  <c r="AK350"/>
  <c r="AK360"/>
  <c r="AK344"/>
  <c r="AK357"/>
  <c r="AK351"/>
  <c r="AK354"/>
  <c r="AK356"/>
  <c r="AK345"/>
  <c r="AK353"/>
  <c r="AK367"/>
  <c r="AK347"/>
  <c r="AK346"/>
  <c r="AK352"/>
  <c r="AK349"/>
  <c r="AK363"/>
  <c r="AK362"/>
  <c r="AK368"/>
  <c r="AK348"/>
  <c r="AK365"/>
  <c r="AK355"/>
  <c r="AK369"/>
  <c r="AK358"/>
  <c r="AK364"/>
  <c r="AK361"/>
  <c r="F341"/>
  <c r="F352"/>
  <c r="F342"/>
  <c r="F347"/>
  <c r="F349"/>
  <c r="F358"/>
  <c r="F344"/>
  <c r="F354"/>
  <c r="F351"/>
  <c r="F356"/>
  <c r="F346"/>
  <c r="F357"/>
  <c r="F345"/>
  <c r="F350"/>
  <c r="F339"/>
  <c r="F343"/>
  <c r="F355"/>
  <c r="F353"/>
  <c r="F340"/>
  <c r="F348"/>
  <c r="DF4" i="3"/>
  <c r="A7"/>
  <c r="N353" i="6"/>
  <c r="N351"/>
  <c r="N355"/>
  <c r="N344"/>
  <c r="N349"/>
  <c r="N343"/>
  <c r="N339"/>
  <c r="N346"/>
  <c r="N345"/>
  <c r="N352"/>
  <c r="N342"/>
  <c r="N348"/>
  <c r="N347"/>
  <c r="N356"/>
  <c r="N358"/>
  <c r="N354"/>
  <c r="N350"/>
  <c r="N340"/>
  <c r="N341"/>
  <c r="N357"/>
  <c r="DJ4" i="3"/>
  <c r="DK4" s="1"/>
  <c r="J346" i="6"/>
  <c r="J352"/>
  <c r="J356"/>
  <c r="J350"/>
  <c r="J344"/>
  <c r="J358"/>
  <c r="J355"/>
  <c r="J339"/>
  <c r="J348"/>
  <c r="J351"/>
  <c r="J341"/>
  <c r="J342"/>
  <c r="J349"/>
  <c r="J343"/>
  <c r="J340"/>
  <c r="J345"/>
  <c r="J353"/>
  <c r="J347"/>
  <c r="J357"/>
  <c r="J354"/>
  <c r="AP368"/>
  <c r="AP352"/>
  <c r="AP362"/>
  <c r="AP346"/>
  <c r="AP367"/>
  <c r="AP357"/>
  <c r="AP351"/>
  <c r="AP348"/>
  <c r="AP354"/>
  <c r="AP361"/>
  <c r="AP363"/>
  <c r="AP364"/>
  <c r="AP344"/>
  <c r="AP350"/>
  <c r="AP355"/>
  <c r="AP353"/>
  <c r="AP360"/>
  <c r="AP366"/>
  <c r="AP369"/>
  <c r="AP347"/>
  <c r="AP345"/>
  <c r="AP359"/>
  <c r="AP356"/>
  <c r="AP349"/>
  <c r="AP358"/>
  <c r="AP365"/>
  <c r="R357"/>
  <c r="R349"/>
  <c r="R341"/>
  <c r="R358"/>
  <c r="R348"/>
  <c r="R351"/>
  <c r="R339"/>
  <c r="R342"/>
  <c r="R346"/>
  <c r="R347"/>
  <c r="R356"/>
  <c r="R352"/>
  <c r="R355"/>
  <c r="R345"/>
  <c r="R344"/>
  <c r="R340"/>
  <c r="R353"/>
  <c r="R343"/>
  <c r="R350"/>
  <c r="R354"/>
  <c r="F361"/>
  <c r="F363"/>
  <c r="F360"/>
  <c r="F369"/>
  <c r="F364"/>
  <c r="F362"/>
  <c r="F359"/>
  <c r="F368"/>
  <c r="F366"/>
  <c r="F367"/>
  <c r="F365"/>
  <c r="J107" i="11"/>
  <c r="J92"/>
  <c r="J88"/>
  <c r="J84"/>
  <c r="J80"/>
  <c r="J76"/>
  <c r="J93"/>
  <c r="J81"/>
  <c r="J106"/>
  <c r="J91"/>
  <c r="J87"/>
  <c r="J83"/>
  <c r="J79"/>
  <c r="J108"/>
  <c r="J85"/>
  <c r="J109"/>
  <c r="J98"/>
  <c r="J90"/>
  <c r="J86"/>
  <c r="J82"/>
  <c r="J78"/>
  <c r="J89"/>
  <c r="J77"/>
  <c r="J363" i="6"/>
  <c r="J368"/>
  <c r="J362"/>
  <c r="J364"/>
  <c r="J366"/>
  <c r="J359"/>
  <c r="J361"/>
  <c r="J367"/>
  <c r="J369"/>
  <c r="J365"/>
  <c r="J360"/>
  <c r="R369"/>
  <c r="R361"/>
  <c r="R366"/>
  <c r="R359"/>
  <c r="R362"/>
  <c r="R368"/>
  <c r="R367"/>
  <c r="R365"/>
  <c r="R360"/>
  <c r="R363"/>
  <c r="R364"/>
  <c r="J1400" i="11" l="1"/>
  <c r="J1263"/>
  <c r="J1230"/>
  <c r="J1093"/>
  <c r="J1059"/>
  <c r="J1026"/>
  <c r="J787"/>
  <c r="J753"/>
  <c r="J720"/>
  <c r="J617"/>
  <c r="J584"/>
  <c r="J550"/>
  <c r="J413"/>
  <c r="J380"/>
  <c r="J346"/>
  <c r="J312"/>
  <c r="J278"/>
  <c r="J1399"/>
  <c r="J1366"/>
  <c r="J1229"/>
  <c r="J1196"/>
  <c r="J1025"/>
  <c r="J992"/>
  <c r="J958"/>
  <c r="J719"/>
  <c r="J686"/>
  <c r="J583"/>
  <c r="J549"/>
  <c r="J516"/>
  <c r="J482"/>
  <c r="J379"/>
  <c r="J345"/>
  <c r="J311"/>
  <c r="J277"/>
  <c r="J244"/>
  <c r="J1365"/>
  <c r="J1332"/>
  <c r="J1298"/>
  <c r="J1195"/>
  <c r="J1162"/>
  <c r="J1128"/>
  <c r="J991"/>
  <c r="J957"/>
  <c r="J924"/>
  <c r="J890"/>
  <c r="J856"/>
  <c r="J822"/>
  <c r="J685"/>
  <c r="J652"/>
  <c r="J515"/>
  <c r="J481"/>
  <c r="J448"/>
  <c r="J243"/>
  <c r="J210"/>
  <c r="J176"/>
  <c r="J1331"/>
  <c r="J1297"/>
  <c r="J1264"/>
  <c r="J1161"/>
  <c r="J1127"/>
  <c r="J1094"/>
  <c r="J1060"/>
  <c r="J923"/>
  <c r="J889"/>
  <c r="J855"/>
  <c r="J821"/>
  <c r="J788"/>
  <c r="J754"/>
  <c r="J651"/>
  <c r="J618"/>
  <c r="J447"/>
  <c r="J414"/>
  <c r="J209"/>
  <c r="J175"/>
  <c r="BY25" i="3"/>
  <c r="DK24"/>
  <c r="BF27"/>
  <c r="BK27" s="1"/>
  <c r="BE27"/>
  <c r="BG27"/>
  <c r="BL27" s="1"/>
  <c r="BH27"/>
  <c r="BM27" s="1"/>
  <c r="BI26"/>
  <c r="BJ26"/>
  <c r="BN26" s="1"/>
  <c r="DF24"/>
  <c r="BW28"/>
  <c r="BV28"/>
  <c r="BX25"/>
  <c r="BO25"/>
  <c r="DJ25" s="1"/>
  <c r="AY26"/>
  <c r="AZ26"/>
  <c r="BD26" s="1"/>
  <c r="AV27"/>
  <c r="BA27" s="1"/>
  <c r="AW27"/>
  <c r="BB27" s="1"/>
  <c r="AU27"/>
  <c r="AX27"/>
  <c r="BC27" s="1"/>
  <c r="J142" i="11"/>
  <c r="J127"/>
  <c r="J123"/>
  <c r="J119"/>
  <c r="J115"/>
  <c r="J111"/>
  <c r="J132"/>
  <c r="J116"/>
  <c r="J141"/>
  <c r="J126"/>
  <c r="J122"/>
  <c r="J118"/>
  <c r="J114"/>
  <c r="J110"/>
  <c r="J143"/>
  <c r="J120"/>
  <c r="J140"/>
  <c r="J125"/>
  <c r="J121"/>
  <c r="J117"/>
  <c r="J113"/>
  <c r="J124"/>
  <c r="J112"/>
  <c r="A8" i="3"/>
  <c r="DK25" l="1"/>
  <c r="BG28"/>
  <c r="BL28" s="1"/>
  <c r="BH28"/>
  <c r="BM28" s="1"/>
  <c r="BF28"/>
  <c r="BK28" s="1"/>
  <c r="BE28"/>
  <c r="DF25"/>
  <c r="AU28"/>
  <c r="AV28"/>
  <c r="BA28" s="1"/>
  <c r="AX28"/>
  <c r="BC28" s="1"/>
  <c r="AW28"/>
  <c r="BB28" s="1"/>
  <c r="BJ27"/>
  <c r="BN27" s="1"/>
  <c r="BI27"/>
  <c r="AY27"/>
  <c r="AZ27"/>
  <c r="BD27" s="1"/>
  <c r="BO26"/>
  <c r="DJ26" s="1"/>
  <c r="BX26"/>
  <c r="BW29"/>
  <c r="BV29"/>
  <c r="BY26"/>
  <c r="J174" i="11"/>
  <c r="J166"/>
  <c r="J158"/>
  <c r="J154"/>
  <c r="J150"/>
  <c r="J146"/>
  <c r="J177"/>
  <c r="J151"/>
  <c r="J161"/>
  <c r="J157"/>
  <c r="J153"/>
  <c r="J149"/>
  <c r="J145"/>
  <c r="J155"/>
  <c r="J160"/>
  <c r="J156"/>
  <c r="J152"/>
  <c r="J148"/>
  <c r="J144"/>
  <c r="J159"/>
  <c r="J147"/>
  <c r="A9" i="3"/>
  <c r="DK26" l="1"/>
  <c r="BW30"/>
  <c r="BV30"/>
  <c r="BO27"/>
  <c r="DJ27" s="1"/>
  <c r="BX27"/>
  <c r="BJ28"/>
  <c r="BN28" s="1"/>
  <c r="BI28"/>
  <c r="DF26"/>
  <c r="BY27"/>
  <c r="AV29"/>
  <c r="BA29" s="1"/>
  <c r="AU29"/>
  <c r="AX29"/>
  <c r="BC29" s="1"/>
  <c r="AW29"/>
  <c r="BB29" s="1"/>
  <c r="AZ28"/>
  <c r="BD28" s="1"/>
  <c r="AY28"/>
  <c r="BG29"/>
  <c r="BL29" s="1"/>
  <c r="BF29"/>
  <c r="BK29" s="1"/>
  <c r="BH29"/>
  <c r="BM29" s="1"/>
  <c r="BE29"/>
  <c r="A10"/>
  <c r="J211" i="11"/>
  <c r="J200"/>
  <c r="J192"/>
  <c r="J188"/>
  <c r="J184"/>
  <c r="J180"/>
  <c r="J189"/>
  <c r="J195"/>
  <c r="J191"/>
  <c r="J187"/>
  <c r="J183"/>
  <c r="J179"/>
  <c r="J208"/>
  <c r="J185"/>
  <c r="J194"/>
  <c r="J190"/>
  <c r="J186"/>
  <c r="J182"/>
  <c r="J178"/>
  <c r="J193"/>
  <c r="J181"/>
  <c r="DF27" i="3" l="1"/>
  <c r="BY28"/>
  <c r="AV30"/>
  <c r="BA30" s="1"/>
  <c r="AW30"/>
  <c r="BB30" s="1"/>
  <c r="AX30"/>
  <c r="BC30" s="1"/>
  <c r="AU30"/>
  <c r="DK27"/>
  <c r="BJ29"/>
  <c r="BN29" s="1"/>
  <c r="BI29"/>
  <c r="BO28"/>
  <c r="DJ28" s="1"/>
  <c r="BX28"/>
  <c r="AY29"/>
  <c r="AZ29"/>
  <c r="BD29" s="1"/>
  <c r="BW31"/>
  <c r="BV31"/>
  <c r="BE30"/>
  <c r="BF30"/>
  <c r="BK30" s="1"/>
  <c r="BH30"/>
  <c r="BM30" s="1"/>
  <c r="BG30"/>
  <c r="BL30" s="1"/>
  <c r="J242" i="11"/>
  <c r="J227"/>
  <c r="J223"/>
  <c r="J219"/>
  <c r="J215"/>
  <c r="J220"/>
  <c r="J212"/>
  <c r="J245"/>
  <c r="J234"/>
  <c r="J226"/>
  <c r="J222"/>
  <c r="J218"/>
  <c r="J214"/>
  <c r="J224"/>
  <c r="J229"/>
  <c r="J225"/>
  <c r="J221"/>
  <c r="J217"/>
  <c r="J213"/>
  <c r="J228"/>
  <c r="J216"/>
  <c r="A11" i="3"/>
  <c r="DK28" l="1"/>
  <c r="BW32"/>
  <c r="BV32"/>
  <c r="BX29"/>
  <c r="BO29"/>
  <c r="DJ29" s="1"/>
  <c r="BE31"/>
  <c r="BH31"/>
  <c r="BM31" s="1"/>
  <c r="BG31"/>
  <c r="BL31" s="1"/>
  <c r="BF31"/>
  <c r="BK31" s="1"/>
  <c r="AZ30"/>
  <c r="BD30" s="1"/>
  <c r="AY30"/>
  <c r="BJ30"/>
  <c r="BN30" s="1"/>
  <c r="BI30"/>
  <c r="BY29"/>
  <c r="AX31"/>
  <c r="BC31" s="1"/>
  <c r="AV31"/>
  <c r="BA31" s="1"/>
  <c r="AW31"/>
  <c r="BB31" s="1"/>
  <c r="AU31"/>
  <c r="DF28"/>
  <c r="A12"/>
  <c r="J262" i="11"/>
  <c r="J258"/>
  <c r="J254"/>
  <c r="J250"/>
  <c r="J246"/>
  <c r="J255"/>
  <c r="J276"/>
  <c r="J261"/>
  <c r="J257"/>
  <c r="J253"/>
  <c r="J249"/>
  <c r="J259"/>
  <c r="J247"/>
  <c r="J279"/>
  <c r="J268"/>
  <c r="J260"/>
  <c r="J256"/>
  <c r="J252"/>
  <c r="J248"/>
  <c r="J263"/>
  <c r="J251"/>
  <c r="BY30" i="3" l="1"/>
  <c r="DF29"/>
  <c r="BX30"/>
  <c r="BO30"/>
  <c r="DJ30" s="1"/>
  <c r="DK30" s="1"/>
  <c r="BH32"/>
  <c r="BM32" s="1"/>
  <c r="BE32"/>
  <c r="BG32"/>
  <c r="BL32" s="1"/>
  <c r="BF32"/>
  <c r="BK32" s="1"/>
  <c r="AV32"/>
  <c r="BA32" s="1"/>
  <c r="AU32"/>
  <c r="AW32"/>
  <c r="BB32" s="1"/>
  <c r="AX32"/>
  <c r="BC32" s="1"/>
  <c r="AZ31"/>
  <c r="BD31" s="1"/>
  <c r="AY31"/>
  <c r="BJ31"/>
  <c r="BN31" s="1"/>
  <c r="BI31"/>
  <c r="BY31" s="1"/>
  <c r="DK29"/>
  <c r="BW33"/>
  <c r="BV33"/>
  <c r="J297" i="11"/>
  <c r="J293"/>
  <c r="J289"/>
  <c r="J285"/>
  <c r="J281"/>
  <c r="J313"/>
  <c r="J290"/>
  <c r="J296"/>
  <c r="J292"/>
  <c r="J288"/>
  <c r="J284"/>
  <c r="J280"/>
  <c r="J294"/>
  <c r="J282"/>
  <c r="J310"/>
  <c r="J295"/>
  <c r="J291"/>
  <c r="J287"/>
  <c r="J283"/>
  <c r="J302"/>
  <c r="J286"/>
  <c r="A13" i="3"/>
  <c r="AV33" l="1"/>
  <c r="BA33" s="1"/>
  <c r="AU33"/>
  <c r="AW33"/>
  <c r="BB33" s="1"/>
  <c r="AX33"/>
  <c r="BC33" s="1"/>
  <c r="BV34"/>
  <c r="BW34"/>
  <c r="BO31"/>
  <c r="DJ31" s="1"/>
  <c r="AY32"/>
  <c r="AZ32"/>
  <c r="BD32" s="1"/>
  <c r="BI32"/>
  <c r="BJ32"/>
  <c r="BN32" s="1"/>
  <c r="BX31"/>
  <c r="BF33"/>
  <c r="BK33" s="1"/>
  <c r="BG33"/>
  <c r="BL33" s="1"/>
  <c r="BH33"/>
  <c r="BM33" s="1"/>
  <c r="BE33"/>
  <c r="DF30"/>
  <c r="A14"/>
  <c r="J347" i="11"/>
  <c r="J336"/>
  <c r="J328"/>
  <c r="J324"/>
  <c r="J320"/>
  <c r="J316"/>
  <c r="J344"/>
  <c r="J331"/>
  <c r="J327"/>
  <c r="J323"/>
  <c r="J319"/>
  <c r="J315"/>
  <c r="J325"/>
  <c r="J317"/>
  <c r="J330"/>
  <c r="J326"/>
  <c r="J322"/>
  <c r="J318"/>
  <c r="J314"/>
  <c r="J329"/>
  <c r="J321"/>
  <c r="BY32" i="3" l="1"/>
  <c r="BX32"/>
  <c r="DK31"/>
  <c r="BE34"/>
  <c r="BH34"/>
  <c r="BM34" s="1"/>
  <c r="BF34"/>
  <c r="BK34" s="1"/>
  <c r="BG34"/>
  <c r="BL34" s="1"/>
  <c r="AZ33"/>
  <c r="BD33" s="1"/>
  <c r="AY33"/>
  <c r="BV35"/>
  <c r="BW35"/>
  <c r="BJ33"/>
  <c r="BN33" s="1"/>
  <c r="BI33"/>
  <c r="DF31"/>
  <c r="BO32"/>
  <c r="DJ32" s="1"/>
  <c r="DK32" s="1"/>
  <c r="AU34"/>
  <c r="AV34"/>
  <c r="BA34" s="1"/>
  <c r="AW34"/>
  <c r="BB34" s="1"/>
  <c r="AX34"/>
  <c r="BC34" s="1"/>
  <c r="J378" i="11"/>
  <c r="J363"/>
  <c r="J359"/>
  <c r="J355"/>
  <c r="J351"/>
  <c r="J381"/>
  <c r="J370"/>
  <c r="J362"/>
  <c r="J358"/>
  <c r="J354"/>
  <c r="J350"/>
  <c r="J364"/>
  <c r="J356"/>
  <c r="J348"/>
  <c r="J365"/>
  <c r="J361"/>
  <c r="J357"/>
  <c r="J353"/>
  <c r="J349"/>
  <c r="J360"/>
  <c r="J352"/>
  <c r="A15" i="3"/>
  <c r="DF32" l="1"/>
  <c r="BO33"/>
  <c r="DJ33" s="1"/>
  <c r="AV35"/>
  <c r="BA35" s="1"/>
  <c r="AU35"/>
  <c r="AX35"/>
  <c r="BC35" s="1"/>
  <c r="AW35"/>
  <c r="BB35" s="1"/>
  <c r="AZ34"/>
  <c r="BD34" s="1"/>
  <c r="AY34"/>
  <c r="BY33"/>
  <c r="BV36"/>
  <c r="BW36"/>
  <c r="BH35"/>
  <c r="BM35" s="1"/>
  <c r="BE35"/>
  <c r="BG35"/>
  <c r="BL35" s="1"/>
  <c r="BF35"/>
  <c r="BK35" s="1"/>
  <c r="BX33"/>
  <c r="BI34"/>
  <c r="BJ34"/>
  <c r="BN34" s="1"/>
  <c r="J398" i="11"/>
  <c r="J394"/>
  <c r="J390"/>
  <c r="J386"/>
  <c r="J382"/>
  <c r="J412"/>
  <c r="J397"/>
  <c r="J393"/>
  <c r="J389"/>
  <c r="J385"/>
  <c r="J395"/>
  <c r="J387"/>
  <c r="J383"/>
  <c r="J415"/>
  <c r="J404"/>
  <c r="J396"/>
  <c r="J392"/>
  <c r="J388"/>
  <c r="J384"/>
  <c r="J399"/>
  <c r="J391"/>
  <c r="A16" i="3"/>
  <c r="BX34" l="1"/>
  <c r="DF33"/>
  <c r="BW37"/>
  <c r="BV37"/>
  <c r="BF36"/>
  <c r="BK36" s="1"/>
  <c r="BE36"/>
  <c r="BH36"/>
  <c r="BM36" s="1"/>
  <c r="BG36"/>
  <c r="BL36" s="1"/>
  <c r="AZ35"/>
  <c r="BD35" s="1"/>
  <c r="AY35"/>
  <c r="BO34"/>
  <c r="DJ34" s="1"/>
  <c r="DK34" s="1"/>
  <c r="BY34"/>
  <c r="BJ35"/>
  <c r="BN35" s="1"/>
  <c r="BI35"/>
  <c r="AX36"/>
  <c r="BC36" s="1"/>
  <c r="AU36"/>
  <c r="AW36"/>
  <c r="BB36" s="1"/>
  <c r="AV36"/>
  <c r="BA36" s="1"/>
  <c r="DK33"/>
  <c r="J433" i="11"/>
  <c r="J429"/>
  <c r="J425"/>
  <c r="J421"/>
  <c r="J417"/>
  <c r="J432"/>
  <c r="J428"/>
  <c r="J424"/>
  <c r="J420"/>
  <c r="J416"/>
  <c r="J438"/>
  <c r="J426"/>
  <c r="J446"/>
  <c r="J431"/>
  <c r="J427"/>
  <c r="J423"/>
  <c r="J419"/>
  <c r="J449"/>
  <c r="J430"/>
  <c r="J422"/>
  <c r="J418"/>
  <c r="A17" i="3"/>
  <c r="DF34" l="1"/>
  <c r="BX35"/>
  <c r="BO35"/>
  <c r="DJ35" s="1"/>
  <c r="BF37"/>
  <c r="BK37" s="1"/>
  <c r="BH37"/>
  <c r="BM37" s="1"/>
  <c r="BE37"/>
  <c r="BG37"/>
  <c r="BL37" s="1"/>
  <c r="AZ36"/>
  <c r="BD36" s="1"/>
  <c r="AY36"/>
  <c r="AU37"/>
  <c r="AV37"/>
  <c r="BA37" s="1"/>
  <c r="AX37"/>
  <c r="BC37" s="1"/>
  <c r="AW37"/>
  <c r="BB37" s="1"/>
  <c r="BY35"/>
  <c r="BI36"/>
  <c r="BJ36"/>
  <c r="BN36" s="1"/>
  <c r="BW38"/>
  <c r="BV38"/>
  <c r="J483" i="11"/>
  <c r="J472"/>
  <c r="J464"/>
  <c r="J460"/>
  <c r="J456"/>
  <c r="J452"/>
  <c r="J467"/>
  <c r="J463"/>
  <c r="J459"/>
  <c r="J455"/>
  <c r="J451"/>
  <c r="J480"/>
  <c r="J461"/>
  <c r="J453"/>
  <c r="J466"/>
  <c r="J462"/>
  <c r="J458"/>
  <c r="J454"/>
  <c r="J450"/>
  <c r="J465"/>
  <c r="J457"/>
  <c r="A18" i="3"/>
  <c r="BY36" l="1"/>
  <c r="DK35"/>
  <c r="BW39"/>
  <c r="BV39"/>
  <c r="BF38"/>
  <c r="BK38" s="1"/>
  <c r="BG38"/>
  <c r="BL38" s="1"/>
  <c r="BH38"/>
  <c r="BM38" s="1"/>
  <c r="BE38"/>
  <c r="BO36"/>
  <c r="DJ36" s="1"/>
  <c r="BX36"/>
  <c r="AU38"/>
  <c r="AX38"/>
  <c r="BC38" s="1"/>
  <c r="AW38"/>
  <c r="BB38" s="1"/>
  <c r="AV38"/>
  <c r="BA38" s="1"/>
  <c r="AZ37"/>
  <c r="BD37" s="1"/>
  <c r="AY37"/>
  <c r="BI37"/>
  <c r="BJ37"/>
  <c r="BN37" s="1"/>
  <c r="DF35"/>
  <c r="J514" i="11"/>
  <c r="J499"/>
  <c r="J495"/>
  <c r="J491"/>
  <c r="J487"/>
  <c r="J496"/>
  <c r="J517"/>
  <c r="J506"/>
  <c r="J498"/>
  <c r="J494"/>
  <c r="J490"/>
  <c r="J486"/>
  <c r="J488"/>
  <c r="J501"/>
  <c r="J497"/>
  <c r="J493"/>
  <c r="J489"/>
  <c r="J485"/>
  <c r="J500"/>
  <c r="J492"/>
  <c r="J484"/>
  <c r="A19" i="3"/>
  <c r="BY37" l="1"/>
  <c r="DK36"/>
  <c r="BG39"/>
  <c r="BL39" s="1"/>
  <c r="BE39"/>
  <c r="BH39"/>
  <c r="BM39" s="1"/>
  <c r="BF39"/>
  <c r="BK39" s="1"/>
  <c r="BX37"/>
  <c r="BO37"/>
  <c r="DJ37" s="1"/>
  <c r="DK37" s="1"/>
  <c r="BJ38"/>
  <c r="BN38" s="1"/>
  <c r="BI38"/>
  <c r="AW39"/>
  <c r="BB39" s="1"/>
  <c r="AU39"/>
  <c r="AX39"/>
  <c r="BC39" s="1"/>
  <c r="AV39"/>
  <c r="BA39" s="1"/>
  <c r="AZ38"/>
  <c r="BD38" s="1"/>
  <c r="AY38"/>
  <c r="DF36"/>
  <c r="BW40"/>
  <c r="BV40"/>
  <c r="J534" i="11"/>
  <c r="J530"/>
  <c r="J526"/>
  <c r="J522"/>
  <c r="J518"/>
  <c r="J529"/>
  <c r="J521"/>
  <c r="J540"/>
  <c r="J528"/>
  <c r="J535"/>
  <c r="J523"/>
  <c r="J548"/>
  <c r="J533"/>
  <c r="J525"/>
  <c r="J551"/>
  <c r="J524"/>
  <c r="J531"/>
  <c r="J519"/>
  <c r="J532"/>
  <c r="J520"/>
  <c r="J527"/>
  <c r="A20" i="3"/>
  <c r="BY38" l="1"/>
  <c r="AV40"/>
  <c r="BA40" s="1"/>
  <c r="AU40"/>
  <c r="AW40"/>
  <c r="BB40" s="1"/>
  <c r="AX40"/>
  <c r="BC40" s="1"/>
  <c r="BO38"/>
  <c r="DJ38" s="1"/>
  <c r="BX38"/>
  <c r="BI39"/>
  <c r="BJ39"/>
  <c r="BN39" s="1"/>
  <c r="BH40"/>
  <c r="BM40" s="1"/>
  <c r="BF40"/>
  <c r="BK40" s="1"/>
  <c r="BE40"/>
  <c r="BG40"/>
  <c r="BL40" s="1"/>
  <c r="AY39"/>
  <c r="AZ39"/>
  <c r="BD39" s="1"/>
  <c r="BV41"/>
  <c r="BW41"/>
  <c r="DF37"/>
  <c r="J569" i="11"/>
  <c r="J565"/>
  <c r="J561"/>
  <c r="J557"/>
  <c r="J553"/>
  <c r="J563"/>
  <c r="J574"/>
  <c r="J558"/>
  <c r="J568"/>
  <c r="J564"/>
  <c r="J560"/>
  <c r="J556"/>
  <c r="J552"/>
  <c r="J582"/>
  <c r="J559"/>
  <c r="J566"/>
  <c r="J554"/>
  <c r="J567"/>
  <c r="J555"/>
  <c r="J585"/>
  <c r="J562"/>
  <c r="A21" i="3"/>
  <c r="DF38" l="1"/>
  <c r="AZ40"/>
  <c r="BD40" s="1"/>
  <c r="AY40"/>
  <c r="AV41"/>
  <c r="AX41"/>
  <c r="BC41" s="1"/>
  <c r="AU41"/>
  <c r="AW41"/>
  <c r="BJ40"/>
  <c r="BN40" s="1"/>
  <c r="BI40"/>
  <c r="BY39"/>
  <c r="BG41"/>
  <c r="BE41"/>
  <c r="BH41"/>
  <c r="BF41"/>
  <c r="BK41" s="1"/>
  <c r="BW42"/>
  <c r="BV42"/>
  <c r="BO39"/>
  <c r="DJ39" s="1"/>
  <c r="BX39"/>
  <c r="DK38"/>
  <c r="J619" i="11"/>
  <c r="J608"/>
  <c r="J600"/>
  <c r="J596"/>
  <c r="J592"/>
  <c r="J588"/>
  <c r="J593"/>
  <c r="J603"/>
  <c r="J599"/>
  <c r="J595"/>
  <c r="J591"/>
  <c r="J587"/>
  <c r="J616"/>
  <c r="J597"/>
  <c r="J602"/>
  <c r="J598"/>
  <c r="J594"/>
  <c r="J590"/>
  <c r="J586"/>
  <c r="J601"/>
  <c r="J589"/>
  <c r="J705"/>
  <c r="A22" i="3"/>
  <c r="BY40" l="1"/>
  <c r="DF39"/>
  <c r="BV43"/>
  <c r="BW43"/>
  <c r="AZ41"/>
  <c r="AY41"/>
  <c r="BO40"/>
  <c r="DJ40" s="1"/>
  <c r="BX40"/>
  <c r="AV42"/>
  <c r="BA42" s="1"/>
  <c r="AW42"/>
  <c r="BB42" s="1"/>
  <c r="AU42"/>
  <c r="AX42"/>
  <c r="BL41"/>
  <c r="BA41"/>
  <c r="BH42"/>
  <c r="BM42" s="1"/>
  <c r="BF42"/>
  <c r="BG42"/>
  <c r="BL42" s="1"/>
  <c r="BE42"/>
  <c r="BB41"/>
  <c r="BM41"/>
  <c r="DK39"/>
  <c r="BJ41"/>
  <c r="BI41"/>
  <c r="J650" i="11"/>
  <c r="J635"/>
  <c r="J631"/>
  <c r="J627"/>
  <c r="J623"/>
  <c r="J628"/>
  <c r="J620"/>
  <c r="J653"/>
  <c r="J642"/>
  <c r="J634"/>
  <c r="J630"/>
  <c r="J626"/>
  <c r="J622"/>
  <c r="J632"/>
  <c r="J637"/>
  <c r="J633"/>
  <c r="J629"/>
  <c r="J625"/>
  <c r="J621"/>
  <c r="J636"/>
  <c r="J624"/>
  <c r="A23" i="3"/>
  <c r="DF40" l="1"/>
  <c r="BK42"/>
  <c r="AZ42"/>
  <c r="AY42"/>
  <c r="BE43"/>
  <c r="BH43"/>
  <c r="BG43"/>
  <c r="BF43"/>
  <c r="BK43" s="1"/>
  <c r="BI42"/>
  <c r="BJ42"/>
  <c r="BN41"/>
  <c r="BY41" s="1"/>
  <c r="BC42"/>
  <c r="BD41"/>
  <c r="BX41" s="1"/>
  <c r="DK40"/>
  <c r="AW43"/>
  <c r="AV43"/>
  <c r="BA43" s="1"/>
  <c r="BA44" s="1"/>
  <c r="AX43"/>
  <c r="BC43" s="1"/>
  <c r="AU43"/>
  <c r="J670" i="11"/>
  <c r="J666"/>
  <c r="J662"/>
  <c r="J658"/>
  <c r="J654"/>
  <c r="J671"/>
  <c r="J659"/>
  <c r="J684"/>
  <c r="J669"/>
  <c r="J665"/>
  <c r="J661"/>
  <c r="J657"/>
  <c r="J667"/>
  <c r="J655"/>
  <c r="J687"/>
  <c r="J676"/>
  <c r="J668"/>
  <c r="J664"/>
  <c r="J660"/>
  <c r="J656"/>
  <c r="J663"/>
  <c r="A24" i="3"/>
  <c r="BF44" l="1"/>
  <c r="AV44"/>
  <c r="BK44"/>
  <c r="BC44"/>
  <c r="AX44"/>
  <c r="BO41"/>
  <c r="AY43"/>
  <c r="AY44" s="1"/>
  <c r="AZ43"/>
  <c r="BN42"/>
  <c r="BY42" s="1"/>
  <c r="BL43"/>
  <c r="BL44" s="1"/>
  <c r="BG44"/>
  <c r="BD42"/>
  <c r="BM43"/>
  <c r="BM44" s="1"/>
  <c r="BH44"/>
  <c r="BB43"/>
  <c r="BB44" s="1"/>
  <c r="AW44"/>
  <c r="AU44"/>
  <c r="BJ43"/>
  <c r="BI43"/>
  <c r="BI44" s="1"/>
  <c r="BE44"/>
  <c r="J721" i="11"/>
  <c r="J710"/>
  <c r="J701"/>
  <c r="J697"/>
  <c r="J693"/>
  <c r="J689"/>
  <c r="J718"/>
  <c r="J694"/>
  <c r="J704"/>
  <c r="J700"/>
  <c r="J696"/>
  <c r="J692"/>
  <c r="J688"/>
  <c r="J702"/>
  <c r="J690"/>
  <c r="J703"/>
  <c r="J699"/>
  <c r="J695"/>
  <c r="J691"/>
  <c r="J698"/>
  <c r="A25" i="3"/>
  <c r="BO42" l="1"/>
  <c r="DJ42" s="1"/>
  <c r="BX42"/>
  <c r="BN43"/>
  <c r="BN44" s="1"/>
  <c r="BJ44"/>
  <c r="DJ41"/>
  <c r="DK41" s="1"/>
  <c r="BD43"/>
  <c r="BD44" s="1"/>
  <c r="AZ44"/>
  <c r="DF41"/>
  <c r="J752" i="11"/>
  <c r="J737"/>
  <c r="J733"/>
  <c r="J729"/>
  <c r="J725"/>
  <c r="J730"/>
  <c r="J755"/>
  <c r="J744"/>
  <c r="J736"/>
  <c r="J732"/>
  <c r="J728"/>
  <c r="J724"/>
  <c r="J726"/>
  <c r="J739"/>
  <c r="J735"/>
  <c r="J731"/>
  <c r="J727"/>
  <c r="J723"/>
  <c r="J738"/>
  <c r="J734"/>
  <c r="J722"/>
  <c r="A26" i="3"/>
  <c r="BY43" l="1"/>
  <c r="BY44" s="1"/>
  <c r="DF42"/>
  <c r="BX43"/>
  <c r="DK42"/>
  <c r="BX44"/>
  <c r="BO43"/>
  <c r="J772" i="11"/>
  <c r="J768"/>
  <c r="J764"/>
  <c r="J760"/>
  <c r="J756"/>
  <c r="J757"/>
  <c r="J786"/>
  <c r="J771"/>
  <c r="J767"/>
  <c r="J763"/>
  <c r="J759"/>
  <c r="J761"/>
  <c r="J789"/>
  <c r="J778"/>
  <c r="J770"/>
  <c r="J766"/>
  <c r="J762"/>
  <c r="J758"/>
  <c r="J773"/>
  <c r="J769"/>
  <c r="J765"/>
  <c r="A27" i="3"/>
  <c r="DJ43" l="1"/>
  <c r="DK43" s="1"/>
  <c r="BO44"/>
  <c r="DF43"/>
  <c r="A28"/>
  <c r="J807" i="11"/>
  <c r="J803"/>
  <c r="J799"/>
  <c r="J795"/>
  <c r="J791"/>
  <c r="J806"/>
  <c r="J802"/>
  <c r="J798"/>
  <c r="J794"/>
  <c r="J790"/>
  <c r="J820"/>
  <c r="J805"/>
  <c r="J801"/>
  <c r="J797"/>
  <c r="J793"/>
  <c r="J823"/>
  <c r="J812"/>
  <c r="J804"/>
  <c r="J800"/>
  <c r="J796"/>
  <c r="J792"/>
  <c r="J857" l="1"/>
  <c r="J846"/>
  <c r="J838"/>
  <c r="J834"/>
  <c r="J830"/>
  <c r="J826"/>
  <c r="J841"/>
  <c r="J837"/>
  <c r="J833"/>
  <c r="J829"/>
  <c r="J825"/>
  <c r="J840"/>
  <c r="J836"/>
  <c r="J832"/>
  <c r="J828"/>
  <c r="J824"/>
  <c r="J854"/>
  <c r="J839"/>
  <c r="J835"/>
  <c r="J831"/>
  <c r="J827"/>
  <c r="A29" i="3"/>
  <c r="A30" l="1"/>
  <c r="J873" i="11"/>
  <c r="J868"/>
  <c r="J864"/>
  <c r="J874"/>
  <c r="J859"/>
  <c r="J860"/>
  <c r="J888"/>
  <c r="J871"/>
  <c r="J867"/>
  <c r="J863"/>
  <c r="J891"/>
  <c r="J872"/>
  <c r="J858"/>
  <c r="J865"/>
  <c r="J880"/>
  <c r="J870"/>
  <c r="J866"/>
  <c r="J862"/>
  <c r="J869"/>
  <c r="J875"/>
  <c r="J861"/>
  <c r="A31" i="3" l="1"/>
  <c r="J908" i="11"/>
  <c r="J893"/>
  <c r="J903"/>
  <c r="J899"/>
  <c r="J894"/>
  <c r="J895"/>
  <c r="J922"/>
  <c r="J906"/>
  <c r="J892"/>
  <c r="J907"/>
  <c r="J902"/>
  <c r="J898"/>
  <c r="J909"/>
  <c r="J900"/>
  <c r="J914"/>
  <c r="J925"/>
  <c r="J905"/>
  <c r="J901"/>
  <c r="J897"/>
  <c r="J904"/>
  <c r="J896"/>
  <c r="A32" i="3" l="1"/>
  <c r="J939" i="11"/>
  <c r="J935"/>
  <c r="J931"/>
  <c r="J942"/>
  <c r="J927"/>
  <c r="J938"/>
  <c r="J934"/>
  <c r="J930"/>
  <c r="J956"/>
  <c r="J940"/>
  <c r="J926"/>
  <c r="J959"/>
  <c r="J932"/>
  <c r="J943"/>
  <c r="J929"/>
  <c r="J937"/>
  <c r="J933"/>
  <c r="J928"/>
  <c r="J948"/>
  <c r="J941"/>
  <c r="J936"/>
  <c r="A33" i="3" l="1"/>
  <c r="J971" i="11"/>
  <c r="J967"/>
  <c r="J962"/>
  <c r="J974"/>
  <c r="J960"/>
  <c r="J982"/>
  <c r="J964"/>
  <c r="J977"/>
  <c r="J963"/>
  <c r="J975"/>
  <c r="J970"/>
  <c r="J966"/>
  <c r="J968"/>
  <c r="J976"/>
  <c r="J961"/>
  <c r="J990"/>
  <c r="J973"/>
  <c r="J969"/>
  <c r="J965"/>
  <c r="J993"/>
  <c r="J972"/>
  <c r="A34" i="3" l="1"/>
  <c r="J1007" i="11"/>
  <c r="J1003"/>
  <c r="J999"/>
  <c r="J1010"/>
  <c r="J995"/>
  <c r="J997"/>
  <c r="J1016"/>
  <c r="J1006"/>
  <c r="J1002"/>
  <c r="J998"/>
  <c r="J1008"/>
  <c r="J994"/>
  <c r="J1005"/>
  <c r="J1001"/>
  <c r="J996"/>
  <c r="J1024"/>
  <c r="J1027"/>
  <c r="J1009"/>
  <c r="J1004"/>
  <c r="J1000"/>
  <c r="J1011"/>
  <c r="J1058" l="1"/>
  <c r="J1061"/>
  <c r="J1043"/>
  <c r="J1038"/>
  <c r="J1034"/>
  <c r="J1045"/>
  <c r="J1031"/>
  <c r="J1041"/>
  <c r="J1037"/>
  <c r="J1033"/>
  <c r="J1044"/>
  <c r="J1029"/>
  <c r="J1050"/>
  <c r="J1040"/>
  <c r="J1036"/>
  <c r="J1032"/>
  <c r="J1035"/>
  <c r="J1039"/>
  <c r="J1028"/>
  <c r="J1030"/>
  <c r="J1042"/>
  <c r="A35" i="3"/>
  <c r="J1084" i="11" l="1"/>
  <c r="J1074"/>
  <c r="J1070"/>
  <c r="J1066"/>
  <c r="J1092"/>
  <c r="J1073"/>
  <c r="J1069"/>
  <c r="J1064"/>
  <c r="J1079"/>
  <c r="J1065"/>
  <c r="J1095"/>
  <c r="J1077"/>
  <c r="J1072"/>
  <c r="J1068"/>
  <c r="J1078"/>
  <c r="J1063"/>
  <c r="J1071"/>
  <c r="J1067"/>
  <c r="J1062"/>
  <c r="J1075"/>
  <c r="J1076"/>
  <c r="A36" i="3"/>
  <c r="J1126" i="11" l="1"/>
  <c r="J1112"/>
  <c r="J1097"/>
  <c r="J1111"/>
  <c r="J1106"/>
  <c r="J1102"/>
  <c r="J1110"/>
  <c r="J1096"/>
  <c r="J1118"/>
  <c r="J1109"/>
  <c r="J1105"/>
  <c r="J1101"/>
  <c r="J1129"/>
  <c r="J1108"/>
  <c r="J1104"/>
  <c r="J1100"/>
  <c r="J1107"/>
  <c r="J1113"/>
  <c r="J1099"/>
  <c r="J1103"/>
  <c r="J1098"/>
  <c r="A37" i="3"/>
  <c r="A38" l="1"/>
  <c r="J1143" i="11"/>
  <c r="J1139"/>
  <c r="J1135"/>
  <c r="J1144"/>
  <c r="J1130"/>
  <c r="J1163"/>
  <c r="J1145"/>
  <c r="J1152"/>
  <c r="J1142"/>
  <c r="J1138"/>
  <c r="J1134"/>
  <c r="J1160"/>
  <c r="J1136"/>
  <c r="J1141"/>
  <c r="J1137"/>
  <c r="J1132"/>
  <c r="J1147"/>
  <c r="J1133"/>
  <c r="J1140"/>
  <c r="J1146"/>
  <c r="J1131"/>
  <c r="A39" i="3" l="1"/>
  <c r="J1181" i="11"/>
  <c r="J1167"/>
  <c r="J1177"/>
  <c r="J1173"/>
  <c r="J1169"/>
  <c r="J1180"/>
  <c r="J1165"/>
  <c r="J1186"/>
  <c r="J1176"/>
  <c r="J1172"/>
  <c r="J1168"/>
  <c r="J1178"/>
  <c r="J1164"/>
  <c r="J1175"/>
  <c r="J1171"/>
  <c r="J1166"/>
  <c r="J1179"/>
  <c r="J1174"/>
  <c r="J1170"/>
  <c r="J1194"/>
  <c r="J1197"/>
  <c r="A40" i="3" l="1"/>
  <c r="J1211" i="11"/>
  <c r="J1207"/>
  <c r="J1203"/>
  <c r="J1212"/>
  <c r="J1198"/>
  <c r="J1220"/>
  <c r="J1210"/>
  <c r="J1206"/>
  <c r="J1202"/>
  <c r="J1228"/>
  <c r="J1209"/>
  <c r="J1205"/>
  <c r="J1200"/>
  <c r="J1215"/>
  <c r="J1201"/>
  <c r="J1204"/>
  <c r="J1208"/>
  <c r="J1231"/>
  <c r="J1199"/>
  <c r="J1213"/>
  <c r="J1214"/>
  <c r="J1245" l="1"/>
  <c r="J1246"/>
  <c r="J1232"/>
  <c r="J1234"/>
  <c r="J1233"/>
  <c r="J1254"/>
  <c r="J1244"/>
  <c r="J1262"/>
  <c r="J1241"/>
  <c r="J1240"/>
  <c r="J1265"/>
  <c r="J1242"/>
  <c r="J1248"/>
  <c r="J1236"/>
  <c r="J1243"/>
  <c r="J1249"/>
  <c r="J1235"/>
  <c r="J1239"/>
  <c r="J1238"/>
  <c r="J1247"/>
  <c r="J1237"/>
  <c r="A41" i="3"/>
  <c r="J1296" i="11" l="1"/>
  <c r="J1299"/>
  <c r="J1281"/>
  <c r="J1276"/>
  <c r="J1272"/>
  <c r="J1283"/>
  <c r="J1269"/>
  <c r="J1279"/>
  <c r="J1275"/>
  <c r="J1271"/>
  <c r="J1282"/>
  <c r="J1267"/>
  <c r="J1288"/>
  <c r="J1278"/>
  <c r="J1274"/>
  <c r="J1270"/>
  <c r="J1266"/>
  <c r="J1268"/>
  <c r="J1280"/>
  <c r="J1273"/>
  <c r="J1277"/>
  <c r="A42" i="3"/>
  <c r="J1317" i="11" l="1"/>
  <c r="J1322"/>
  <c r="J1309"/>
  <c r="J1305"/>
  <c r="J1333"/>
  <c r="J1300"/>
  <c r="J1316"/>
  <c r="J1315"/>
  <c r="J1308"/>
  <c r="J1304"/>
  <c r="J1314"/>
  <c r="J1312"/>
  <c r="J1307"/>
  <c r="J1302"/>
  <c r="J1313"/>
  <c r="J1303"/>
  <c r="J1330"/>
  <c r="J1306"/>
  <c r="J1301"/>
  <c r="J1310"/>
  <c r="A1301"/>
  <c r="I1301" s="1"/>
  <c r="J1311"/>
  <c r="D1321"/>
  <c r="D1326" s="1"/>
  <c r="E1325"/>
  <c r="A43" i="3"/>
  <c r="A10" i="11" s="1"/>
  <c r="B1317" l="1"/>
  <c r="C1311"/>
  <c r="AW22" s="1"/>
  <c r="C1274"/>
  <c r="AV19" s="1"/>
  <c r="B1250"/>
  <c r="E1124"/>
  <c r="E1193"/>
  <c r="E1192"/>
  <c r="C1204"/>
  <c r="AT17" s="1"/>
  <c r="D1287"/>
  <c r="D1292" s="1"/>
  <c r="AV34" s="1"/>
  <c r="E1155"/>
  <c r="C1172"/>
  <c r="AS19" s="1"/>
  <c r="B1181"/>
  <c r="D1116"/>
  <c r="D1114" s="1"/>
  <c r="B1319"/>
  <c r="D1225"/>
  <c r="AT35" s="1"/>
  <c r="B1114"/>
  <c r="C1174"/>
  <c r="AS21" s="1"/>
  <c r="B1251"/>
  <c r="C1140"/>
  <c r="AR21" s="1"/>
  <c r="E1294"/>
  <c r="C1306"/>
  <c r="C1169"/>
  <c r="H1169" s="1"/>
  <c r="E1261"/>
  <c r="C1106"/>
  <c r="AQ21" s="1"/>
  <c r="C1104"/>
  <c r="AQ19" s="1"/>
  <c r="D1154"/>
  <c r="AR32" s="1"/>
  <c r="D1259"/>
  <c r="AU35" s="1"/>
  <c r="J1287"/>
  <c r="D1119"/>
  <c r="D1285"/>
  <c r="A1285" s="1"/>
  <c r="D644"/>
  <c r="C632"/>
  <c r="AC23" s="1"/>
  <c r="C631"/>
  <c r="AC22" s="1"/>
  <c r="C626"/>
  <c r="C564"/>
  <c r="AA23" s="1"/>
  <c r="B604"/>
  <c r="C661"/>
  <c r="AD18" s="1"/>
  <c r="A587"/>
  <c r="I587" s="1"/>
  <c r="C629"/>
  <c r="AC20" s="1"/>
  <c r="C625"/>
  <c r="H625" s="1"/>
  <c r="B638"/>
  <c r="E614"/>
  <c r="B605"/>
  <c r="B603"/>
  <c r="A621"/>
  <c r="I621" s="1"/>
  <c r="A655"/>
  <c r="I655" s="1"/>
  <c r="C596"/>
  <c r="AB21" s="1"/>
  <c r="D640"/>
  <c r="C630"/>
  <c r="AC21" s="1"/>
  <c r="C598"/>
  <c r="AB23" s="1"/>
  <c r="D572"/>
  <c r="C666"/>
  <c r="AD23" s="1"/>
  <c r="D674"/>
  <c r="E649"/>
  <c r="C633"/>
  <c r="AC24" s="1"/>
  <c r="B671"/>
  <c r="B637"/>
  <c r="C592"/>
  <c r="D575"/>
  <c r="E682"/>
  <c r="C594"/>
  <c r="AB19" s="1"/>
  <c r="E679"/>
  <c r="B672"/>
  <c r="D677"/>
  <c r="C660"/>
  <c r="B673"/>
  <c r="C599"/>
  <c r="AB24" s="1"/>
  <c r="C595"/>
  <c r="AB20" s="1"/>
  <c r="C700"/>
  <c r="AE23" s="1"/>
  <c r="E717"/>
  <c r="D678"/>
  <c r="D647"/>
  <c r="D643"/>
  <c r="B639"/>
  <c r="C731"/>
  <c r="AF20" s="1"/>
  <c r="C665"/>
  <c r="AD22" s="1"/>
  <c r="E683"/>
  <c r="C659"/>
  <c r="H659" s="1"/>
  <c r="C628"/>
  <c r="AC19" s="1"/>
  <c r="C662"/>
  <c r="AD19" s="1"/>
  <c r="B570"/>
  <c r="E648"/>
  <c r="D681"/>
  <c r="C701"/>
  <c r="AE24" s="1"/>
  <c r="E509"/>
  <c r="C667"/>
  <c r="AD24" s="1"/>
  <c r="C693"/>
  <c r="H693" s="1"/>
  <c r="C663"/>
  <c r="AD20" s="1"/>
  <c r="E645"/>
  <c r="B706"/>
  <c r="D641"/>
  <c r="C664"/>
  <c r="AD21" s="1"/>
  <c r="B705"/>
  <c r="C627"/>
  <c r="AC18" s="1"/>
  <c r="E747"/>
  <c r="E237"/>
  <c r="C89"/>
  <c r="M24" s="1"/>
  <c r="C462"/>
  <c r="X23" s="1"/>
  <c r="C221"/>
  <c r="Q20" s="1"/>
  <c r="C157"/>
  <c r="O24" s="1"/>
  <c r="D606"/>
  <c r="E275"/>
  <c r="B740"/>
  <c r="C425"/>
  <c r="W20" s="1"/>
  <c r="E713"/>
  <c r="E71"/>
  <c r="C188"/>
  <c r="P21" s="1"/>
  <c r="D573"/>
  <c r="B60"/>
  <c r="A417"/>
  <c r="I417" s="1"/>
  <c r="C426"/>
  <c r="W21" s="1"/>
  <c r="C497"/>
  <c r="Y24" s="1"/>
  <c r="B297"/>
  <c r="C290"/>
  <c r="S21" s="1"/>
  <c r="D746"/>
  <c r="C698"/>
  <c r="AE21" s="1"/>
  <c r="D607"/>
  <c r="C528"/>
  <c r="Z21" s="1"/>
  <c r="D100"/>
  <c r="C116"/>
  <c r="C217"/>
  <c r="H217" s="1"/>
  <c r="C185"/>
  <c r="P18" s="1"/>
  <c r="B127"/>
  <c r="B469"/>
  <c r="D579"/>
  <c r="D368"/>
  <c r="C696"/>
  <c r="AE19" s="1"/>
  <c r="D341"/>
  <c r="D304"/>
  <c r="D576"/>
  <c r="D63"/>
  <c r="C184"/>
  <c r="D97"/>
  <c r="C190"/>
  <c r="P23" s="1"/>
  <c r="C391"/>
  <c r="V20" s="1"/>
  <c r="C186"/>
  <c r="P19" s="1"/>
  <c r="B707"/>
  <c r="B161"/>
  <c r="C152"/>
  <c r="O19" s="1"/>
  <c r="C355"/>
  <c r="U18" s="1"/>
  <c r="E241"/>
  <c r="B536"/>
  <c r="C458"/>
  <c r="X19" s="1"/>
  <c r="B468"/>
  <c r="E410"/>
  <c r="C187"/>
  <c r="P20" s="1"/>
  <c r="D131"/>
  <c r="D709"/>
  <c r="C697"/>
  <c r="AE20" s="1"/>
  <c r="D130"/>
  <c r="D133" s="1"/>
  <c r="C763"/>
  <c r="AG18" s="1"/>
  <c r="B569"/>
  <c r="C527"/>
  <c r="Z20" s="1"/>
  <c r="C86"/>
  <c r="M21" s="1"/>
  <c r="B399"/>
  <c r="B299"/>
  <c r="C730"/>
  <c r="AF19" s="1"/>
  <c r="A723"/>
  <c r="I723" s="1"/>
  <c r="C392"/>
  <c r="V21" s="1"/>
  <c r="C387"/>
  <c r="H387" s="1"/>
  <c r="D675"/>
  <c r="D712"/>
  <c r="A757"/>
  <c r="I757" s="1"/>
  <c r="B265"/>
  <c r="D471"/>
  <c r="D103"/>
  <c r="D545"/>
  <c r="C287"/>
  <c r="S18" s="1"/>
  <c r="A315"/>
  <c r="I315" s="1"/>
  <c r="C151"/>
  <c r="O18" s="1"/>
  <c r="C291"/>
  <c r="S22" s="1"/>
  <c r="D164"/>
  <c r="D167" s="1"/>
  <c r="E169"/>
  <c r="A213"/>
  <c r="I213" s="1"/>
  <c r="E478"/>
  <c r="D300"/>
  <c r="D303" s="1"/>
  <c r="E444"/>
  <c r="C360"/>
  <c r="U23" s="1"/>
  <c r="C421"/>
  <c r="H421" s="1"/>
  <c r="C459"/>
  <c r="X20" s="1"/>
  <c r="D708"/>
  <c r="C694"/>
  <c r="E546"/>
  <c r="C288"/>
  <c r="S19" s="1"/>
  <c r="E547"/>
  <c r="B365"/>
  <c r="C257"/>
  <c r="R22" s="1"/>
  <c r="B501"/>
  <c r="C51"/>
  <c r="L20" s="1"/>
  <c r="E445"/>
  <c r="C83"/>
  <c r="M18" s="1"/>
  <c r="C699"/>
  <c r="AE22" s="1"/>
  <c r="E342"/>
  <c r="D198"/>
  <c r="D201" s="1"/>
  <c r="B298"/>
  <c r="C729"/>
  <c r="AF18" s="1"/>
  <c r="E173"/>
  <c r="D715"/>
  <c r="C88"/>
  <c r="M23" s="1"/>
  <c r="D443"/>
  <c r="C395"/>
  <c r="V24" s="1"/>
  <c r="E751"/>
  <c r="C460"/>
  <c r="X21" s="1"/>
  <c r="C695"/>
  <c r="AE18" s="1"/>
  <c r="C254"/>
  <c r="R19" s="1"/>
  <c r="D437"/>
  <c r="C319"/>
  <c r="H319" s="1"/>
  <c r="E615"/>
  <c r="C81"/>
  <c r="H81" s="1"/>
  <c r="C153"/>
  <c r="O20" s="1"/>
  <c r="E373"/>
  <c r="D232"/>
  <c r="C218"/>
  <c r="B502"/>
  <c r="B230"/>
  <c r="C224"/>
  <c r="Q23" s="1"/>
  <c r="C321"/>
  <c r="T18" s="1"/>
  <c r="C52"/>
  <c r="L21" s="1"/>
  <c r="C561"/>
  <c r="AA20" s="1"/>
  <c r="C767"/>
  <c r="AG22" s="1"/>
  <c r="B400"/>
  <c r="D504"/>
  <c r="D507" s="1"/>
  <c r="C525"/>
  <c r="Z18" s="1"/>
  <c r="C423"/>
  <c r="W18" s="1"/>
  <c r="E274"/>
  <c r="C123"/>
  <c r="N24" s="1"/>
  <c r="A451"/>
  <c r="I451" s="1"/>
  <c r="C258"/>
  <c r="R23" s="1"/>
  <c r="C289"/>
  <c r="S20" s="1"/>
  <c r="D270"/>
  <c r="E479"/>
  <c r="D780"/>
  <c r="C53"/>
  <c r="L22" s="1"/>
  <c r="A43"/>
  <c r="I43" s="1"/>
  <c r="C733"/>
  <c r="AF22" s="1"/>
  <c r="C320"/>
  <c r="D542"/>
  <c r="C55"/>
  <c r="L24" s="1"/>
  <c r="C565"/>
  <c r="AA24" s="1"/>
  <c r="C327"/>
  <c r="T24" s="1"/>
  <c r="A111"/>
  <c r="I111" s="1"/>
  <c r="C557"/>
  <c r="H557" s="1"/>
  <c r="D239"/>
  <c r="B401"/>
  <c r="C388"/>
  <c r="C293"/>
  <c r="S24" s="1"/>
  <c r="D776"/>
  <c r="C84"/>
  <c r="M19" s="1"/>
  <c r="C255"/>
  <c r="R20" s="1"/>
  <c r="C422"/>
  <c r="C457"/>
  <c r="X18" s="1"/>
  <c r="E271"/>
  <c r="B367"/>
  <c r="C323"/>
  <c r="T20" s="1"/>
  <c r="C727"/>
  <c r="H727" s="1"/>
  <c r="D375"/>
  <c r="D436"/>
  <c r="D439" s="1"/>
  <c r="C735"/>
  <c r="AF24" s="1"/>
  <c r="C87"/>
  <c r="M22" s="1"/>
  <c r="A247"/>
  <c r="I247" s="1"/>
  <c r="E104"/>
  <c r="A77"/>
  <c r="I77" s="1"/>
  <c r="E716"/>
  <c r="D406"/>
  <c r="C286"/>
  <c r="C591"/>
  <c r="H591" s="1"/>
  <c r="D749"/>
  <c r="E308"/>
  <c r="D474"/>
  <c r="C251"/>
  <c r="H251" s="1"/>
  <c r="E339"/>
  <c r="B59"/>
  <c r="D205"/>
  <c r="D334"/>
  <c r="D711"/>
  <c r="C390"/>
  <c r="V19" s="1"/>
  <c r="C259"/>
  <c r="R24" s="1"/>
  <c r="E67"/>
  <c r="C490"/>
  <c r="D403"/>
  <c r="E240"/>
  <c r="C495"/>
  <c r="Y22" s="1"/>
  <c r="C803"/>
  <c r="AH24" s="1"/>
  <c r="C428"/>
  <c r="W23" s="1"/>
  <c r="C461"/>
  <c r="X22" s="1"/>
  <c r="D307"/>
  <c r="B129"/>
  <c r="C285"/>
  <c r="H285" s="1"/>
  <c r="C734"/>
  <c r="AF23" s="1"/>
  <c r="B571"/>
  <c r="D541"/>
  <c r="C764"/>
  <c r="AG19" s="1"/>
  <c r="C85"/>
  <c r="M20" s="1"/>
  <c r="D477"/>
  <c r="D171"/>
  <c r="E781"/>
  <c r="C48"/>
  <c r="E784"/>
  <c r="C154"/>
  <c r="O21" s="1"/>
  <c r="D233"/>
  <c r="B434"/>
  <c r="C120"/>
  <c r="N21" s="1"/>
  <c r="C393"/>
  <c r="V22" s="1"/>
  <c r="C223"/>
  <c r="Q22" s="1"/>
  <c r="C326"/>
  <c r="T23" s="1"/>
  <c r="D742"/>
  <c r="E135"/>
  <c r="C219"/>
  <c r="Q18" s="1"/>
  <c r="C359"/>
  <c r="U22" s="1"/>
  <c r="C253"/>
  <c r="R18" s="1"/>
  <c r="D371"/>
  <c r="C150"/>
  <c r="C47"/>
  <c r="H47" s="1"/>
  <c r="A281"/>
  <c r="I281" s="1"/>
  <c r="C191"/>
  <c r="P24" s="1"/>
  <c r="D267"/>
  <c r="A145"/>
  <c r="I145" s="1"/>
  <c r="E441"/>
  <c r="C361"/>
  <c r="U24" s="1"/>
  <c r="C122"/>
  <c r="N23" s="1"/>
  <c r="C429"/>
  <c r="W24" s="1"/>
  <c r="B197"/>
  <c r="B162"/>
  <c r="C189"/>
  <c r="P22" s="1"/>
  <c r="C156"/>
  <c r="O23" s="1"/>
  <c r="C50"/>
  <c r="L19" s="1"/>
  <c r="D505"/>
  <c r="C353"/>
  <c r="H353" s="1"/>
  <c r="E138"/>
  <c r="E70"/>
  <c r="C54"/>
  <c r="L23" s="1"/>
  <c r="B229"/>
  <c r="B467"/>
  <c r="C494"/>
  <c r="Y21" s="1"/>
  <c r="C529"/>
  <c r="Z22" s="1"/>
  <c r="C762"/>
  <c r="B163"/>
  <c r="B128"/>
  <c r="D62"/>
  <c r="D134"/>
  <c r="C324"/>
  <c r="T21" s="1"/>
  <c r="D409"/>
  <c r="D743"/>
  <c r="B61"/>
  <c r="D745"/>
  <c r="B196"/>
  <c r="E750"/>
  <c r="C389"/>
  <c r="V18" s="1"/>
  <c r="E376"/>
  <c r="C82"/>
  <c r="E207"/>
  <c r="E543"/>
  <c r="E309"/>
  <c r="B775"/>
  <c r="D69"/>
  <c r="B739"/>
  <c r="C149"/>
  <c r="H149" s="1"/>
  <c r="C394"/>
  <c r="V23" s="1"/>
  <c r="B231"/>
  <c r="C524"/>
  <c r="C356"/>
  <c r="U19" s="1"/>
  <c r="C155"/>
  <c r="O22" s="1"/>
  <c r="E172"/>
  <c r="C49"/>
  <c r="L18" s="1"/>
  <c r="C765"/>
  <c r="AG20" s="1"/>
  <c r="C118"/>
  <c r="N19" s="1"/>
  <c r="C493"/>
  <c r="Y20" s="1"/>
  <c r="D372"/>
  <c r="C424"/>
  <c r="W19" s="1"/>
  <c r="E101"/>
  <c r="C115"/>
  <c r="H115" s="1"/>
  <c r="C117"/>
  <c r="N18" s="1"/>
  <c r="C121"/>
  <c r="N22" s="1"/>
  <c r="A179"/>
  <c r="I179" s="1"/>
  <c r="D266"/>
  <c r="D165"/>
  <c r="E139"/>
  <c r="E203"/>
  <c r="D338"/>
  <c r="C492"/>
  <c r="Y19" s="1"/>
  <c r="C252"/>
  <c r="D508"/>
  <c r="D511"/>
  <c r="C455"/>
  <c r="H455" s="1"/>
  <c r="D66"/>
  <c r="C768"/>
  <c r="AG23" s="1"/>
  <c r="C732"/>
  <c r="AF21" s="1"/>
  <c r="A519"/>
  <c r="I519" s="1"/>
  <c r="D337"/>
  <c r="E377"/>
  <c r="B503"/>
  <c r="B93"/>
  <c r="D199"/>
  <c r="E513"/>
  <c r="D236"/>
  <c r="C560"/>
  <c r="AA19" s="1"/>
  <c r="D301"/>
  <c r="C220"/>
  <c r="Q19" s="1"/>
  <c r="B94"/>
  <c r="C523"/>
  <c r="H523" s="1"/>
  <c r="E305"/>
  <c r="C427"/>
  <c r="W22" s="1"/>
  <c r="D202"/>
  <c r="C463"/>
  <c r="X24" s="1"/>
  <c r="C800"/>
  <c r="AH21" s="1"/>
  <c r="D845"/>
  <c r="C530"/>
  <c r="Z23" s="1"/>
  <c r="C798"/>
  <c r="AH19" s="1"/>
  <c r="D96"/>
  <c r="A383"/>
  <c r="I383" s="1"/>
  <c r="A689"/>
  <c r="I689" s="1"/>
  <c r="C489"/>
  <c r="H489" s="1"/>
  <c r="D168"/>
  <c r="A485"/>
  <c r="I485" s="1"/>
  <c r="C802"/>
  <c r="AH23" s="1"/>
  <c r="D470"/>
  <c r="D473" s="1"/>
  <c r="C225"/>
  <c r="Q24" s="1"/>
  <c r="A349"/>
  <c r="I349" s="1"/>
  <c r="C562"/>
  <c r="AA21" s="1"/>
  <c r="E580"/>
  <c r="B535"/>
  <c r="E512"/>
  <c r="B331"/>
  <c r="B263"/>
  <c r="C761"/>
  <c r="H761" s="1"/>
  <c r="B433"/>
  <c r="B333"/>
  <c r="C795"/>
  <c r="H795" s="1"/>
  <c r="D539"/>
  <c r="A553"/>
  <c r="I553" s="1"/>
  <c r="E105"/>
  <c r="B773"/>
  <c r="E611"/>
  <c r="B264"/>
  <c r="C183"/>
  <c r="H183" s="1"/>
  <c r="C728"/>
  <c r="B95"/>
  <c r="C222"/>
  <c r="Q21" s="1"/>
  <c r="C531"/>
  <c r="Z24" s="1"/>
  <c r="B741"/>
  <c r="D402"/>
  <c r="D405" s="1"/>
  <c r="D369"/>
  <c r="B537"/>
  <c r="E407"/>
  <c r="C358"/>
  <c r="U21" s="1"/>
  <c r="E785"/>
  <c r="D777"/>
  <c r="D137"/>
  <c r="C357"/>
  <c r="U20" s="1"/>
  <c r="C292"/>
  <c r="S23" s="1"/>
  <c r="C354"/>
  <c r="C563"/>
  <c r="AA22" s="1"/>
  <c r="C256"/>
  <c r="R21" s="1"/>
  <c r="B332"/>
  <c r="D814"/>
  <c r="B195"/>
  <c r="C119"/>
  <c r="N20" s="1"/>
  <c r="B774"/>
  <c r="C325"/>
  <c r="T22" s="1"/>
  <c r="E343"/>
  <c r="C597"/>
  <c r="AB22" s="1"/>
  <c r="B807"/>
  <c r="C831"/>
  <c r="AI18" s="1"/>
  <c r="D811"/>
  <c r="C832"/>
  <c r="AI19" s="1"/>
  <c r="C456"/>
  <c r="C496"/>
  <c r="Y23" s="1"/>
  <c r="C833"/>
  <c r="AI20" s="1"/>
  <c r="C322"/>
  <c r="T19" s="1"/>
  <c r="C801"/>
  <c r="AH22" s="1"/>
  <c r="E581"/>
  <c r="C526"/>
  <c r="Z19" s="1"/>
  <c r="D848"/>
  <c r="E475"/>
  <c r="C796"/>
  <c r="C769"/>
  <c r="AG24" s="1"/>
  <c r="C834"/>
  <c r="AI21" s="1"/>
  <c r="D440"/>
  <c r="E206"/>
  <c r="C491"/>
  <c r="Y18" s="1"/>
  <c r="D613"/>
  <c r="D273"/>
  <c r="C829"/>
  <c r="H829" s="1"/>
  <c r="D779"/>
  <c r="B435"/>
  <c r="C766"/>
  <c r="AG21" s="1"/>
  <c r="D538"/>
  <c r="C830"/>
  <c r="A791"/>
  <c r="I791" s="1"/>
  <c r="D335"/>
  <c r="C593"/>
  <c r="AB18" s="1"/>
  <c r="E819"/>
  <c r="B366"/>
  <c r="C558"/>
  <c r="E818"/>
  <c r="E411"/>
  <c r="E577"/>
  <c r="B809"/>
  <c r="C559"/>
  <c r="AA18" s="1"/>
  <c r="D783"/>
  <c r="E815"/>
  <c r="D813"/>
  <c r="B911"/>
  <c r="C836"/>
  <c r="AI23" s="1"/>
  <c r="D610"/>
  <c r="E852"/>
  <c r="B841"/>
  <c r="A825"/>
  <c r="I825" s="1"/>
  <c r="B877"/>
  <c r="D817"/>
  <c r="C837"/>
  <c r="AI24" s="1"/>
  <c r="C868"/>
  <c r="AJ21" s="1"/>
  <c r="D810"/>
  <c r="B808"/>
  <c r="D844"/>
  <c r="C869"/>
  <c r="AJ22" s="1"/>
  <c r="E853"/>
  <c r="C864"/>
  <c r="D916"/>
  <c r="B842"/>
  <c r="E849"/>
  <c r="D851"/>
  <c r="C799"/>
  <c r="AH20" s="1"/>
  <c r="C797"/>
  <c r="AH18" s="1"/>
  <c r="C903"/>
  <c r="AK22" s="1"/>
  <c r="C935"/>
  <c r="AL20" s="1"/>
  <c r="C901"/>
  <c r="AK20" s="1"/>
  <c r="B910"/>
  <c r="D882"/>
  <c r="B875"/>
  <c r="C973"/>
  <c r="AM24" s="1"/>
  <c r="D915"/>
  <c r="D946"/>
  <c r="B876"/>
  <c r="A893"/>
  <c r="I893" s="1"/>
  <c r="C899"/>
  <c r="AK18" s="1"/>
  <c r="B843"/>
  <c r="C870"/>
  <c r="AJ23" s="1"/>
  <c r="D912"/>
  <c r="C835"/>
  <c r="AI22" s="1"/>
  <c r="C871"/>
  <c r="AJ24" s="1"/>
  <c r="E917"/>
  <c r="C863"/>
  <c r="H863" s="1"/>
  <c r="D878"/>
  <c r="E921"/>
  <c r="A859"/>
  <c r="I859" s="1"/>
  <c r="C897"/>
  <c r="H897" s="1"/>
  <c r="C865"/>
  <c r="AJ18" s="1"/>
  <c r="D879"/>
  <c r="D885"/>
  <c r="C867"/>
  <c r="AJ20" s="1"/>
  <c r="E886"/>
  <c r="E955"/>
  <c r="D881"/>
  <c r="C937"/>
  <c r="AL22" s="1"/>
  <c r="C932"/>
  <c r="A927"/>
  <c r="I927" s="1"/>
  <c r="E887"/>
  <c r="D984"/>
  <c r="C900"/>
  <c r="AK19" s="1"/>
  <c r="D913"/>
  <c r="C866"/>
  <c r="AJ19" s="1"/>
  <c r="B945"/>
  <c r="C966"/>
  <c r="C902"/>
  <c r="AK21" s="1"/>
  <c r="D981"/>
  <c r="C898"/>
  <c r="C933"/>
  <c r="AL18" s="1"/>
  <c r="C934"/>
  <c r="AL19" s="1"/>
  <c r="C905"/>
  <c r="AK24" s="1"/>
  <c r="D953"/>
  <c r="B977"/>
  <c r="D847"/>
  <c r="E951"/>
  <c r="E883"/>
  <c r="C931"/>
  <c r="H931" s="1"/>
  <c r="C904"/>
  <c r="AK23" s="1"/>
  <c r="E920"/>
  <c r="C1000"/>
  <c r="E985"/>
  <c r="C967"/>
  <c r="AM18" s="1"/>
  <c r="D919"/>
  <c r="C1006"/>
  <c r="AN23" s="1"/>
  <c r="B944"/>
  <c r="C965"/>
  <c r="H965" s="1"/>
  <c r="C1003"/>
  <c r="AN20" s="1"/>
  <c r="C970"/>
  <c r="AM21" s="1"/>
  <c r="D987"/>
  <c r="D1021"/>
  <c r="B978"/>
  <c r="D980"/>
  <c r="C936"/>
  <c r="AL21" s="1"/>
  <c r="D1014"/>
  <c r="B909"/>
  <c r="C968"/>
  <c r="AM19" s="1"/>
  <c r="E1023"/>
  <c r="D1055"/>
  <c r="A1029"/>
  <c r="I1029" s="1"/>
  <c r="A995"/>
  <c r="I995" s="1"/>
  <c r="E988"/>
  <c r="C1002"/>
  <c r="AN19" s="1"/>
  <c r="C1035"/>
  <c r="AO18" s="1"/>
  <c r="C1039"/>
  <c r="AO22" s="1"/>
  <c r="C969"/>
  <c r="AM20" s="1"/>
  <c r="D1018"/>
  <c r="C971"/>
  <c r="AM22" s="1"/>
  <c r="C938"/>
  <c r="AL23" s="1"/>
  <c r="C972"/>
  <c r="AM23" s="1"/>
  <c r="E954"/>
  <c r="C1001"/>
  <c r="AN18" s="1"/>
  <c r="C1005"/>
  <c r="AN22" s="1"/>
  <c r="C939"/>
  <c r="AL24" s="1"/>
  <c r="D949"/>
  <c r="E1053"/>
  <c r="E1057"/>
  <c r="B943"/>
  <c r="B1012"/>
  <c r="B979"/>
  <c r="E1019"/>
  <c r="B1013"/>
  <c r="B1011"/>
  <c r="E989"/>
  <c r="D983"/>
  <c r="D1086"/>
  <c r="D1048"/>
  <c r="D1089"/>
  <c r="E1091"/>
  <c r="C1073"/>
  <c r="AP22" s="1"/>
  <c r="C1007"/>
  <c r="AN24" s="1"/>
  <c r="E1056"/>
  <c r="C1033"/>
  <c r="H1033" s="1"/>
  <c r="D1015"/>
  <c r="C1070"/>
  <c r="AP19" s="1"/>
  <c r="A961"/>
  <c r="I961" s="1"/>
  <c r="C1036"/>
  <c r="AO19" s="1"/>
  <c r="B1080"/>
  <c r="D1120"/>
  <c r="E1022"/>
  <c r="C1040"/>
  <c r="AO23" s="1"/>
  <c r="B1046"/>
  <c r="D1083"/>
  <c r="D1052"/>
  <c r="D950"/>
  <c r="C1074"/>
  <c r="AP23" s="1"/>
  <c r="A1063"/>
  <c r="I1063" s="1"/>
  <c r="C999"/>
  <c r="H999" s="1"/>
  <c r="C1034"/>
  <c r="E1087"/>
  <c r="D1049"/>
  <c r="C1004"/>
  <c r="AN21" s="1"/>
  <c r="B1079"/>
  <c r="E1090"/>
  <c r="B1047"/>
  <c r="B1045"/>
  <c r="C1038"/>
  <c r="AO21" s="1"/>
  <c r="D947"/>
  <c r="C1071"/>
  <c r="AP20" s="1"/>
  <c r="C1069"/>
  <c r="AP18" s="1"/>
  <c r="C1068"/>
  <c r="D1123"/>
  <c r="E1158"/>
  <c r="C1275"/>
  <c r="AV20" s="1"/>
  <c r="D1290"/>
  <c r="D1255"/>
  <c r="C1175"/>
  <c r="AS22" s="1"/>
  <c r="C1171"/>
  <c r="AS18" s="1"/>
  <c r="C1210"/>
  <c r="AT23" s="1"/>
  <c r="C1206"/>
  <c r="AT19" s="1"/>
  <c r="E1227"/>
  <c r="E1159"/>
  <c r="E1189"/>
  <c r="C1108"/>
  <c r="AQ23" s="1"/>
  <c r="C1102"/>
  <c r="C1037"/>
  <c r="AO20" s="1"/>
  <c r="C1041"/>
  <c r="AO24" s="1"/>
  <c r="D1082"/>
  <c r="C1278"/>
  <c r="AV23" s="1"/>
  <c r="D1293"/>
  <c r="C1103"/>
  <c r="AQ18" s="1"/>
  <c r="C1072"/>
  <c r="AP21" s="1"/>
  <c r="C1109"/>
  <c r="AQ24" s="1"/>
  <c r="C1137"/>
  <c r="AR18" s="1"/>
  <c r="C1139"/>
  <c r="AR20" s="1"/>
  <c r="A1131"/>
  <c r="I1131" s="1"/>
  <c r="B1283"/>
  <c r="D1286"/>
  <c r="B1115"/>
  <c r="C1176"/>
  <c r="AS23" s="1"/>
  <c r="C1240"/>
  <c r="AU19" s="1"/>
  <c r="D1151"/>
  <c r="C1208"/>
  <c r="AT21" s="1"/>
  <c r="C1101"/>
  <c r="H1101" s="1"/>
  <c r="C1271"/>
  <c r="H1271" s="1"/>
  <c r="C1277"/>
  <c r="AV22" s="1"/>
  <c r="E1291"/>
  <c r="D1320"/>
  <c r="AW28" s="1"/>
  <c r="D1327"/>
  <c r="AW35" s="1"/>
  <c r="C1313"/>
  <c r="AW24" s="1"/>
  <c r="C1310"/>
  <c r="AW21" s="1"/>
  <c r="J1292"/>
  <c r="C1135"/>
  <c r="H1135" s="1"/>
  <c r="B1249"/>
  <c r="A1165"/>
  <c r="I1165" s="1"/>
  <c r="C1273"/>
  <c r="AV18" s="1"/>
  <c r="E1295"/>
  <c r="D1184"/>
  <c r="C1243"/>
  <c r="AU22" s="1"/>
  <c r="E1121"/>
  <c r="E1125"/>
  <c r="D1191"/>
  <c r="D1185"/>
  <c r="D1253"/>
  <c r="C1237"/>
  <c r="H1237" s="1"/>
  <c r="D1150"/>
  <c r="C1141"/>
  <c r="AR22" s="1"/>
  <c r="B1113"/>
  <c r="C1075"/>
  <c r="AP24" s="1"/>
  <c r="C1205"/>
  <c r="AT18" s="1"/>
  <c r="B1147"/>
  <c r="C1279"/>
  <c r="AV24" s="1"/>
  <c r="D1222"/>
  <c r="D1221"/>
  <c r="D1157"/>
  <c r="C1143"/>
  <c r="AR24" s="1"/>
  <c r="C1170"/>
  <c r="C1272"/>
  <c r="E1257"/>
  <c r="B1183"/>
  <c r="C1239"/>
  <c r="AU18" s="1"/>
  <c r="B1148"/>
  <c r="A1097"/>
  <c r="I1097" s="1"/>
  <c r="B1216"/>
  <c r="E1226"/>
  <c r="B1182"/>
  <c r="D1256"/>
  <c r="A1233"/>
  <c r="I1233" s="1"/>
  <c r="C1107"/>
  <c r="AQ22" s="1"/>
  <c r="C1209"/>
  <c r="AT22" s="1"/>
  <c r="D1219"/>
  <c r="C1211"/>
  <c r="AT24" s="1"/>
  <c r="E1260"/>
  <c r="B1081"/>
  <c r="B1284"/>
  <c r="B1217"/>
  <c r="C1177"/>
  <c r="AS24" s="1"/>
  <c r="C1067"/>
  <c r="H1067" s="1"/>
  <c r="D1289"/>
  <c r="D1291" s="1"/>
  <c r="AV29"/>
  <c r="D1324"/>
  <c r="J1324" s="1"/>
  <c r="C1307"/>
  <c r="AW18" s="1"/>
  <c r="C1305"/>
  <c r="H1305" s="1"/>
  <c r="B1318"/>
  <c r="C1312"/>
  <c r="AW23" s="1"/>
  <c r="A1292"/>
  <c r="A1287"/>
  <c r="E1329"/>
  <c r="E1328"/>
  <c r="C1308"/>
  <c r="AW19" s="1"/>
  <c r="C1309"/>
  <c r="AW20" s="1"/>
  <c r="C1207"/>
  <c r="AT20" s="1"/>
  <c r="B1215"/>
  <c r="A1267"/>
  <c r="I1267" s="1"/>
  <c r="C1276"/>
  <c r="AV21" s="1"/>
  <c r="C1241"/>
  <c r="AU20" s="1"/>
  <c r="D1252"/>
  <c r="C1245"/>
  <c r="AU24" s="1"/>
  <c r="B1149"/>
  <c r="D1117"/>
  <c r="E1223"/>
  <c r="C1142"/>
  <c r="AR23" s="1"/>
  <c r="C1173"/>
  <c r="AS20" s="1"/>
  <c r="C1244"/>
  <c r="AU23" s="1"/>
  <c r="C1242"/>
  <c r="AU21" s="1"/>
  <c r="C1138"/>
  <c r="AR19" s="1"/>
  <c r="C1105"/>
  <c r="AQ20" s="1"/>
  <c r="A1199"/>
  <c r="I1199" s="1"/>
  <c r="C1136"/>
  <c r="C1238"/>
  <c r="D1188"/>
  <c r="B1285"/>
  <c r="D1218"/>
  <c r="C1203"/>
  <c r="H1203" s="1"/>
  <c r="AW34"/>
  <c r="J1326"/>
  <c r="A1326"/>
  <c r="D1328"/>
  <c r="A8"/>
  <c r="I8" s="1"/>
  <c r="E37"/>
  <c r="E33"/>
  <c r="E36"/>
  <c r="C16"/>
  <c r="H16" s="1"/>
  <c r="E25"/>
  <c r="D1323"/>
  <c r="J1356"/>
  <c r="J1346"/>
  <c r="J1342"/>
  <c r="J1338"/>
  <c r="C1343"/>
  <c r="AX20" s="1"/>
  <c r="J1364"/>
  <c r="C1344"/>
  <c r="AX21" s="1"/>
  <c r="J1334"/>
  <c r="J1349"/>
  <c r="J1344"/>
  <c r="J1340"/>
  <c r="A1335"/>
  <c r="I1335" s="1"/>
  <c r="C1347"/>
  <c r="AX24" s="1"/>
  <c r="J1348"/>
  <c r="C1340"/>
  <c r="J1339"/>
  <c r="J1335"/>
  <c r="J1337"/>
  <c r="B1352"/>
  <c r="B1351"/>
  <c r="J1345"/>
  <c r="J1341"/>
  <c r="J1336"/>
  <c r="J1350"/>
  <c r="C1341"/>
  <c r="AX18" s="1"/>
  <c r="J1351"/>
  <c r="C1342"/>
  <c r="AX19" s="1"/>
  <c r="J1347"/>
  <c r="B1353"/>
  <c r="C1346"/>
  <c r="AX23" s="1"/>
  <c r="J1367"/>
  <c r="C1339"/>
  <c r="H1339" s="1"/>
  <c r="J1343"/>
  <c r="C1345"/>
  <c r="AX22" s="1"/>
  <c r="D1354"/>
  <c r="D1357" s="1"/>
  <c r="D1355"/>
  <c r="D1360" s="1"/>
  <c r="D1358"/>
  <c r="E1362"/>
  <c r="E1359"/>
  <c r="E1363"/>
  <c r="D1361"/>
  <c r="AW29"/>
  <c r="D1319"/>
  <c r="A1321"/>
  <c r="J1321"/>
  <c r="C1314"/>
  <c r="AW17"/>
  <c r="AQ28" l="1"/>
  <c r="D1294"/>
  <c r="A1294" s="1"/>
  <c r="J1116"/>
  <c r="A14"/>
  <c r="C1212"/>
  <c r="J1294"/>
  <c r="A1259"/>
  <c r="J1225"/>
  <c r="J1259"/>
  <c r="A1225"/>
  <c r="J1154"/>
  <c r="D1318"/>
  <c r="J1318" s="1"/>
  <c r="J1285"/>
  <c r="J1320"/>
  <c r="J1327"/>
  <c r="AW32"/>
  <c r="A1327"/>
  <c r="J1289"/>
  <c r="J1188"/>
  <c r="AS32"/>
  <c r="D1190"/>
  <c r="A1185"/>
  <c r="D1183"/>
  <c r="J1185"/>
  <c r="AS29"/>
  <c r="AM31"/>
  <c r="D985"/>
  <c r="J983"/>
  <c r="AK17"/>
  <c r="C906"/>
  <c r="AM32"/>
  <c r="J984"/>
  <c r="J538"/>
  <c r="D536"/>
  <c r="Z28"/>
  <c r="U17"/>
  <c r="C362"/>
  <c r="J66"/>
  <c r="L32"/>
  <c r="M17"/>
  <c r="C90"/>
  <c r="D373"/>
  <c r="J371"/>
  <c r="U31"/>
  <c r="J171"/>
  <c r="A171"/>
  <c r="O35"/>
  <c r="J749"/>
  <c r="AF35"/>
  <c r="A749"/>
  <c r="D714"/>
  <c r="A709"/>
  <c r="D707"/>
  <c r="AE29"/>
  <c r="J709"/>
  <c r="D135"/>
  <c r="J8" i="13" s="1"/>
  <c r="N31" i="11"/>
  <c r="J133"/>
  <c r="J575"/>
  <c r="AA31"/>
  <c r="D577"/>
  <c r="J572"/>
  <c r="AA28"/>
  <c r="D570"/>
  <c r="AC32"/>
  <c r="J644"/>
  <c r="AV31"/>
  <c r="AU17"/>
  <c r="C1246"/>
  <c r="AV17"/>
  <c r="C1280"/>
  <c r="J1221"/>
  <c r="D1223"/>
  <c r="AT31"/>
  <c r="D1153"/>
  <c r="D1148"/>
  <c r="J1150"/>
  <c r="AR28"/>
  <c r="AS35"/>
  <c r="J1191"/>
  <c r="A1191"/>
  <c r="D1187"/>
  <c r="AS28"/>
  <c r="D1182"/>
  <c r="J1184"/>
  <c r="D1156"/>
  <c r="J1151"/>
  <c r="AR29"/>
  <c r="D1149"/>
  <c r="A1151"/>
  <c r="AV28"/>
  <c r="D1284"/>
  <c r="J1286"/>
  <c r="AV35"/>
  <c r="J1293"/>
  <c r="A1293"/>
  <c r="J1052"/>
  <c r="AO32"/>
  <c r="A1089"/>
  <c r="AP35"/>
  <c r="J1089"/>
  <c r="J919"/>
  <c r="A919"/>
  <c r="AK35"/>
  <c r="D986"/>
  <c r="J981"/>
  <c r="A981"/>
  <c r="D979"/>
  <c r="AM29"/>
  <c r="D883"/>
  <c r="J881"/>
  <c r="AJ31"/>
  <c r="J885"/>
  <c r="A885"/>
  <c r="AJ35"/>
  <c r="J851"/>
  <c r="A851"/>
  <c r="AI35"/>
  <c r="C872"/>
  <c r="AJ17"/>
  <c r="J817"/>
  <c r="A817"/>
  <c r="AH35"/>
  <c r="D815"/>
  <c r="AH31"/>
  <c r="J813"/>
  <c r="C566"/>
  <c r="AA17"/>
  <c r="D340"/>
  <c r="D333"/>
  <c r="J335"/>
  <c r="T29"/>
  <c r="A335"/>
  <c r="J273"/>
  <c r="R35"/>
  <c r="A273"/>
  <c r="J440"/>
  <c r="W32"/>
  <c r="X17"/>
  <c r="C464"/>
  <c r="D374"/>
  <c r="D367"/>
  <c r="J369"/>
  <c r="U29"/>
  <c r="A369"/>
  <c r="P32"/>
  <c r="J202"/>
  <c r="Q32"/>
  <c r="J236"/>
  <c r="D407"/>
  <c r="J405"/>
  <c r="V31"/>
  <c r="D170"/>
  <c r="D163"/>
  <c r="J165"/>
  <c r="O29"/>
  <c r="A165"/>
  <c r="U32"/>
  <c r="J372"/>
  <c r="Z17"/>
  <c r="C532"/>
  <c r="AF31"/>
  <c r="D747"/>
  <c r="J745"/>
  <c r="J167"/>
  <c r="D169"/>
  <c r="J10" i="13" s="1"/>
  <c r="O31" i="11"/>
  <c r="J742"/>
  <c r="AF28"/>
  <c r="D740"/>
  <c r="A477"/>
  <c r="J477"/>
  <c r="X35"/>
  <c r="A307"/>
  <c r="S35"/>
  <c r="J307"/>
  <c r="T28"/>
  <c r="J334"/>
  <c r="D332"/>
  <c r="W17"/>
  <c r="C430"/>
  <c r="J270"/>
  <c r="R32"/>
  <c r="D502"/>
  <c r="J504"/>
  <c r="Y28"/>
  <c r="J545"/>
  <c r="A545"/>
  <c r="Z35"/>
  <c r="N29"/>
  <c r="J131"/>
  <c r="D129"/>
  <c r="D136"/>
  <c r="A131"/>
  <c r="D61"/>
  <c r="L29"/>
  <c r="A63"/>
  <c r="D68"/>
  <c r="J63"/>
  <c r="C600"/>
  <c r="AB17"/>
  <c r="AC17"/>
  <c r="C634"/>
  <c r="AU32"/>
  <c r="J1256"/>
  <c r="AR35"/>
  <c r="J1157"/>
  <c r="A1157"/>
  <c r="C1076"/>
  <c r="AP17"/>
  <c r="AL32"/>
  <c r="J950"/>
  <c r="J912"/>
  <c r="AK28"/>
  <c r="D910"/>
  <c r="D842"/>
  <c r="AI28"/>
  <c r="J844"/>
  <c r="AH17"/>
  <c r="C804"/>
  <c r="J337"/>
  <c r="T31"/>
  <c r="D339"/>
  <c r="J711"/>
  <c r="AE31"/>
  <c r="D713"/>
  <c r="AG28"/>
  <c r="J776"/>
  <c r="D774"/>
  <c r="O28"/>
  <c r="J164"/>
  <c r="D162"/>
  <c r="C192"/>
  <c r="P17"/>
  <c r="J579"/>
  <c r="A579"/>
  <c r="AA35"/>
  <c r="J746"/>
  <c r="AF32"/>
  <c r="J1119"/>
  <c r="AQ31"/>
  <c r="D1121"/>
  <c r="D1216"/>
  <c r="AT28"/>
  <c r="J1218"/>
  <c r="AR17"/>
  <c r="C1144"/>
  <c r="J1252"/>
  <c r="D1250"/>
  <c r="AU28"/>
  <c r="AS17"/>
  <c r="C1178"/>
  <c r="AT32"/>
  <c r="J1222"/>
  <c r="AQ17"/>
  <c r="C1110"/>
  <c r="D1054"/>
  <c r="AO29"/>
  <c r="J1049"/>
  <c r="A1049"/>
  <c r="D1047"/>
  <c r="J1083"/>
  <c r="AP29"/>
  <c r="D1088"/>
  <c r="A1083"/>
  <c r="D1081"/>
  <c r="AQ32"/>
  <c r="J1120"/>
  <c r="D1051"/>
  <c r="AO28"/>
  <c r="D1046"/>
  <c r="J1048"/>
  <c r="D951"/>
  <c r="J949"/>
  <c r="AL31"/>
  <c r="AN32"/>
  <c r="J1018"/>
  <c r="AO35"/>
  <c r="A1055"/>
  <c r="J1055"/>
  <c r="D1017"/>
  <c r="J1014"/>
  <c r="AN28"/>
  <c r="D1012"/>
  <c r="J1021"/>
  <c r="AN35"/>
  <c r="A1021"/>
  <c r="J847"/>
  <c r="D849"/>
  <c r="AI31"/>
  <c r="A913"/>
  <c r="J913"/>
  <c r="D911"/>
  <c r="D918"/>
  <c r="AK29"/>
  <c r="D884"/>
  <c r="J879"/>
  <c r="A879"/>
  <c r="D877"/>
  <c r="AJ29"/>
  <c r="D944"/>
  <c r="AL28"/>
  <c r="J946"/>
  <c r="J882"/>
  <c r="AJ32"/>
  <c r="AH28"/>
  <c r="D808"/>
  <c r="J810"/>
  <c r="AB32"/>
  <c r="J610"/>
  <c r="AB35"/>
  <c r="J613"/>
  <c r="A613"/>
  <c r="AI32"/>
  <c r="J848"/>
  <c r="J402"/>
  <c r="V28"/>
  <c r="D400"/>
  <c r="D850"/>
  <c r="AI29"/>
  <c r="J845"/>
  <c r="D843"/>
  <c r="A845"/>
  <c r="Y35"/>
  <c r="A511"/>
  <c r="J511"/>
  <c r="T32"/>
  <c r="J338"/>
  <c r="D269"/>
  <c r="J266"/>
  <c r="R28"/>
  <c r="D264"/>
  <c r="A69"/>
  <c r="J69"/>
  <c r="L35"/>
  <c r="X31"/>
  <c r="D475"/>
  <c r="J473"/>
  <c r="N32"/>
  <c r="J134"/>
  <c r="L17"/>
  <c r="C56"/>
  <c r="A205"/>
  <c r="P35"/>
  <c r="J205"/>
  <c r="X32"/>
  <c r="J474"/>
  <c r="C294"/>
  <c r="S17"/>
  <c r="W28"/>
  <c r="D434"/>
  <c r="J436"/>
  <c r="V17"/>
  <c r="C396"/>
  <c r="Z32"/>
  <c r="J542"/>
  <c r="D442"/>
  <c r="A437"/>
  <c r="D435"/>
  <c r="W29"/>
  <c r="J437"/>
  <c r="AE35"/>
  <c r="A715"/>
  <c r="J715"/>
  <c r="P28"/>
  <c r="D196"/>
  <c r="J198"/>
  <c r="AE17"/>
  <c r="C702"/>
  <c r="J103"/>
  <c r="M35"/>
  <c r="A103"/>
  <c r="J712"/>
  <c r="AE32"/>
  <c r="D128"/>
  <c r="N28"/>
  <c r="J130"/>
  <c r="AA32"/>
  <c r="J576"/>
  <c r="D305"/>
  <c r="J18" i="13" s="1"/>
  <c r="S31" i="11"/>
  <c r="J303"/>
  <c r="D509"/>
  <c r="Y31"/>
  <c r="J507"/>
  <c r="D612"/>
  <c r="AB29"/>
  <c r="J607"/>
  <c r="D605"/>
  <c r="A607"/>
  <c r="D609"/>
  <c r="AB28"/>
  <c r="D604"/>
  <c r="J606"/>
  <c r="AC31"/>
  <c r="D645"/>
  <c r="J643"/>
  <c r="C668"/>
  <c r="AD17"/>
  <c r="J674"/>
  <c r="D672"/>
  <c r="AD28"/>
  <c r="D1224"/>
  <c r="D1217"/>
  <c r="J1219"/>
  <c r="A1219"/>
  <c r="AT29"/>
  <c r="J1290"/>
  <c r="AV32"/>
  <c r="C1042"/>
  <c r="AO17"/>
  <c r="J980"/>
  <c r="AM28"/>
  <c r="D978"/>
  <c r="AN17"/>
  <c r="C1008"/>
  <c r="AL35"/>
  <c r="J953"/>
  <c r="A953"/>
  <c r="J916"/>
  <c r="AK32"/>
  <c r="AH32"/>
  <c r="J814"/>
  <c r="D782"/>
  <c r="D775"/>
  <c r="AG29"/>
  <c r="J777"/>
  <c r="A777"/>
  <c r="J470"/>
  <c r="X28"/>
  <c r="D468"/>
  <c r="C260"/>
  <c r="R17"/>
  <c r="A409"/>
  <c r="J409"/>
  <c r="V35"/>
  <c r="D510"/>
  <c r="J505"/>
  <c r="D503"/>
  <c r="A505"/>
  <c r="Y29"/>
  <c r="J541"/>
  <c r="Z31"/>
  <c r="D543"/>
  <c r="C498"/>
  <c r="Y17"/>
  <c r="A239"/>
  <c r="Q35"/>
  <c r="J239"/>
  <c r="D235"/>
  <c r="D230"/>
  <c r="J232"/>
  <c r="Q28"/>
  <c r="J443"/>
  <c r="A443"/>
  <c r="W35"/>
  <c r="D298"/>
  <c r="J300"/>
  <c r="S28"/>
  <c r="A341"/>
  <c r="T35"/>
  <c r="J341"/>
  <c r="J100"/>
  <c r="M32"/>
  <c r="D646"/>
  <c r="A641"/>
  <c r="J641"/>
  <c r="D639"/>
  <c r="AC29"/>
  <c r="A681"/>
  <c r="J681"/>
  <c r="AD35"/>
  <c r="J678"/>
  <c r="AD32"/>
  <c r="D1122"/>
  <c r="A1117"/>
  <c r="AQ29"/>
  <c r="J1117"/>
  <c r="D1115"/>
  <c r="D1258"/>
  <c r="AU29"/>
  <c r="J1253"/>
  <c r="D1251"/>
  <c r="A1253"/>
  <c r="D1085"/>
  <c r="D1080"/>
  <c r="J1082"/>
  <c r="AP28"/>
  <c r="AU31"/>
  <c r="J1255"/>
  <c r="D1257"/>
  <c r="AQ35"/>
  <c r="J1123"/>
  <c r="A1123"/>
  <c r="D952"/>
  <c r="J947"/>
  <c r="A947"/>
  <c r="AL29"/>
  <c r="D945"/>
  <c r="D1013"/>
  <c r="D1020"/>
  <c r="J1015"/>
  <c r="A1015"/>
  <c r="AN29"/>
  <c r="AP32"/>
  <c r="J1086"/>
  <c r="J987"/>
  <c r="AM35"/>
  <c r="A987"/>
  <c r="C974"/>
  <c r="AM17"/>
  <c r="AL17"/>
  <c r="C940"/>
  <c r="J878"/>
  <c r="D876"/>
  <c r="AJ28"/>
  <c r="J915"/>
  <c r="AK31"/>
  <c r="D917"/>
  <c r="J783"/>
  <c r="AG35"/>
  <c r="A783"/>
  <c r="C838"/>
  <c r="AI17"/>
  <c r="AG31"/>
  <c r="J779"/>
  <c r="D781"/>
  <c r="D816"/>
  <c r="D809"/>
  <c r="J811"/>
  <c r="A811"/>
  <c r="AH29"/>
  <c r="J137"/>
  <c r="N35"/>
  <c r="A137"/>
  <c r="C736"/>
  <c r="AF17"/>
  <c r="D203"/>
  <c r="J12" i="13" s="1"/>
  <c r="J201" i="11"/>
  <c r="P31"/>
  <c r="D544"/>
  <c r="J539"/>
  <c r="A539"/>
  <c r="D537"/>
  <c r="Z29"/>
  <c r="O32"/>
  <c r="J168"/>
  <c r="D99"/>
  <c r="J96"/>
  <c r="D94"/>
  <c r="M28"/>
  <c r="D306"/>
  <c r="J301"/>
  <c r="D299"/>
  <c r="S29"/>
  <c r="A301"/>
  <c r="A199"/>
  <c r="D197"/>
  <c r="D204"/>
  <c r="P29"/>
  <c r="J199"/>
  <c r="J508"/>
  <c r="Y32"/>
  <c r="D748"/>
  <c r="A743"/>
  <c r="J743"/>
  <c r="AF29"/>
  <c r="D741"/>
  <c r="D65"/>
  <c r="J62"/>
  <c r="L28"/>
  <c r="D60"/>
  <c r="AG17"/>
  <c r="C770"/>
  <c r="D272"/>
  <c r="R29"/>
  <c r="A267"/>
  <c r="J267"/>
  <c r="D265"/>
  <c r="O17"/>
  <c r="C158"/>
  <c r="D238"/>
  <c r="A233"/>
  <c r="Q29"/>
  <c r="J233"/>
  <c r="D231"/>
  <c r="D408"/>
  <c r="A403"/>
  <c r="D401"/>
  <c r="V29"/>
  <c r="J403"/>
  <c r="J406"/>
  <c r="V32"/>
  <c r="A375"/>
  <c r="J375"/>
  <c r="U35"/>
  <c r="C328"/>
  <c r="T17"/>
  <c r="AG32"/>
  <c r="J780"/>
  <c r="J439"/>
  <c r="D441"/>
  <c r="W31"/>
  <c r="C226"/>
  <c r="Q17"/>
  <c r="AE28"/>
  <c r="J708"/>
  <c r="D706"/>
  <c r="D476"/>
  <c r="A471"/>
  <c r="J471"/>
  <c r="X29"/>
  <c r="D469"/>
  <c r="D680"/>
  <c r="D673"/>
  <c r="AD29"/>
  <c r="J675"/>
  <c r="A675"/>
  <c r="D95"/>
  <c r="M29"/>
  <c r="D102"/>
  <c r="J97"/>
  <c r="A97"/>
  <c r="J304"/>
  <c r="S32"/>
  <c r="U28"/>
  <c r="J368"/>
  <c r="D366"/>
  <c r="C124"/>
  <c r="N17"/>
  <c r="D578"/>
  <c r="D571"/>
  <c r="A573"/>
  <c r="J573"/>
  <c r="AA29"/>
  <c r="J647"/>
  <c r="A647"/>
  <c r="AC35"/>
  <c r="D679"/>
  <c r="J677"/>
  <c r="AD31"/>
  <c r="J640"/>
  <c r="D638"/>
  <c r="AC28"/>
  <c r="A1114"/>
  <c r="A1116" s="1"/>
  <c r="A1119" s="1"/>
  <c r="A1120" s="1"/>
  <c r="J1114"/>
  <c r="AX34"/>
  <c r="D1362"/>
  <c r="J1360"/>
  <c r="A1360"/>
  <c r="AX17"/>
  <c r="C1348"/>
  <c r="J1291"/>
  <c r="A1291"/>
  <c r="J1358"/>
  <c r="AX32"/>
  <c r="B1386"/>
  <c r="J1384"/>
  <c r="C1379"/>
  <c r="AY22" s="1"/>
  <c r="C22" s="1"/>
  <c r="C1375"/>
  <c r="AY18" s="1"/>
  <c r="C18" s="1"/>
  <c r="J1369"/>
  <c r="J1381"/>
  <c r="J1377"/>
  <c r="J1372"/>
  <c r="J1385"/>
  <c r="C1380"/>
  <c r="AY23" s="1"/>
  <c r="C23" s="1"/>
  <c r="C1376"/>
  <c r="AY19" s="1"/>
  <c r="C19" s="1"/>
  <c r="J1371"/>
  <c r="J1401"/>
  <c r="J1383"/>
  <c r="J1378"/>
  <c r="J1374"/>
  <c r="J1370"/>
  <c r="J1382"/>
  <c r="C1378"/>
  <c r="AY21" s="1"/>
  <c r="C21" s="1"/>
  <c r="C1374"/>
  <c r="J1368"/>
  <c r="J1390"/>
  <c r="J1380"/>
  <c r="J1376"/>
  <c r="A1369"/>
  <c r="I1369" s="1"/>
  <c r="J1398"/>
  <c r="C1381"/>
  <c r="AY24" s="1"/>
  <c r="C24" s="1"/>
  <c r="C1377"/>
  <c r="AY20" s="1"/>
  <c r="C20" s="1"/>
  <c r="C1373"/>
  <c r="H1373" s="1"/>
  <c r="B1387"/>
  <c r="B1385"/>
  <c r="J1379"/>
  <c r="J1375"/>
  <c r="J1373"/>
  <c r="D1389"/>
  <c r="D1394" s="1"/>
  <c r="D1395"/>
  <c r="E1396"/>
  <c r="D1388"/>
  <c r="D1391" s="1"/>
  <c r="D1392"/>
  <c r="E1393"/>
  <c r="E1397"/>
  <c r="A1328"/>
  <c r="J1328"/>
  <c r="AX35"/>
  <c r="J1361"/>
  <c r="A1361"/>
  <c r="A1319"/>
  <c r="J1319"/>
  <c r="AX29"/>
  <c r="J1355"/>
  <c r="A1355"/>
  <c r="D1353"/>
  <c r="AX31"/>
  <c r="J1357"/>
  <c r="D1359"/>
  <c r="AX28"/>
  <c r="D1352"/>
  <c r="J1354"/>
  <c r="AW31"/>
  <c r="J1323"/>
  <c r="D1325"/>
  <c r="D1295" l="1"/>
  <c r="A1318"/>
  <c r="A1320" s="1"/>
  <c r="A1323" s="1"/>
  <c r="A1324" s="1"/>
  <c r="J231"/>
  <c r="A231"/>
  <c r="J299"/>
  <c r="A299"/>
  <c r="A1080"/>
  <c r="A1082" s="1"/>
  <c r="A1085" s="1"/>
  <c r="A1086" s="1"/>
  <c r="J1080"/>
  <c r="J400"/>
  <c r="A400"/>
  <c r="A402" s="1"/>
  <c r="A405" s="1"/>
  <c r="A406" s="1"/>
  <c r="J1121"/>
  <c r="A740"/>
  <c r="A742" s="1"/>
  <c r="A745" s="1"/>
  <c r="A746" s="1"/>
  <c r="J740"/>
  <c r="J163"/>
  <c r="A163"/>
  <c r="J333"/>
  <c r="A333"/>
  <c r="A883"/>
  <c r="J883"/>
  <c r="AS31"/>
  <c r="J1187"/>
  <c r="D1189"/>
  <c r="A1121"/>
  <c r="X34"/>
  <c r="A476"/>
  <c r="D478"/>
  <c r="D479" s="1"/>
  <c r="J476"/>
  <c r="A401"/>
  <c r="J401"/>
  <c r="D67"/>
  <c r="J65"/>
  <c r="L31"/>
  <c r="J544"/>
  <c r="Z34"/>
  <c r="D546"/>
  <c r="A544"/>
  <c r="J809"/>
  <c r="A809"/>
  <c r="D1022"/>
  <c r="A1020"/>
  <c r="AN34"/>
  <c r="J1020"/>
  <c r="D1087"/>
  <c r="J1087" s="1"/>
  <c r="J1085"/>
  <c r="AP31"/>
  <c r="AC34"/>
  <c r="A646"/>
  <c r="D648"/>
  <c r="J646"/>
  <c r="A298"/>
  <c r="A300" s="1"/>
  <c r="A303" s="1"/>
  <c r="A304" s="1"/>
  <c r="J298"/>
  <c r="J510"/>
  <c r="A510"/>
  <c r="Y34"/>
  <c r="D512"/>
  <c r="J775"/>
  <c r="A775"/>
  <c r="J672"/>
  <c r="A672"/>
  <c r="A674" s="1"/>
  <c r="A677" s="1"/>
  <c r="A678" s="1"/>
  <c r="A604"/>
  <c r="A606" s="1"/>
  <c r="A609" s="1"/>
  <c r="A610" s="1"/>
  <c r="J604"/>
  <c r="J605"/>
  <c r="A605"/>
  <c r="A442"/>
  <c r="W34"/>
  <c r="J442"/>
  <c r="D444"/>
  <c r="D445" s="1"/>
  <c r="J475"/>
  <c r="R31"/>
  <c r="D271"/>
  <c r="J16" i="13" s="1"/>
  <c r="J269" i="11"/>
  <c r="J944"/>
  <c r="A944"/>
  <c r="A946" s="1"/>
  <c r="A949" s="1"/>
  <c r="A950" s="1"/>
  <c r="A911"/>
  <c r="J911"/>
  <c r="J849"/>
  <c r="A849"/>
  <c r="AN31"/>
  <c r="D1019"/>
  <c r="J1019" s="1"/>
  <c r="J1017"/>
  <c r="A951"/>
  <c r="J951"/>
  <c r="AO31"/>
  <c r="D1053"/>
  <c r="J1051"/>
  <c r="J1047"/>
  <c r="A1047"/>
  <c r="D1056"/>
  <c r="AO34"/>
  <c r="J1054"/>
  <c r="A1054"/>
  <c r="A1250"/>
  <c r="A1252" s="1"/>
  <c r="A1255" s="1"/>
  <c r="A1256" s="1"/>
  <c r="J1250"/>
  <c r="A774"/>
  <c r="A776" s="1"/>
  <c r="A779" s="1"/>
  <c r="A780" s="1"/>
  <c r="J774"/>
  <c r="A136"/>
  <c r="D138"/>
  <c r="D139" s="1"/>
  <c r="J136"/>
  <c r="N34"/>
  <c r="J170"/>
  <c r="O34"/>
  <c r="A170"/>
  <c r="D172"/>
  <c r="D173" s="1"/>
  <c r="U34"/>
  <c r="D376"/>
  <c r="D377" s="1"/>
  <c r="A374"/>
  <c r="J374"/>
  <c r="J340"/>
  <c r="A340"/>
  <c r="T34"/>
  <c r="D342"/>
  <c r="D343" s="1"/>
  <c r="J986"/>
  <c r="AM34"/>
  <c r="A986"/>
  <c r="D988"/>
  <c r="D989" s="1"/>
  <c r="A1149"/>
  <c r="J1149"/>
  <c r="J1223"/>
  <c r="A1223"/>
  <c r="J577"/>
  <c r="A577"/>
  <c r="A707"/>
  <c r="J707"/>
  <c r="J1190"/>
  <c r="A1190"/>
  <c r="D1192"/>
  <c r="AS34"/>
  <c r="D682"/>
  <c r="D683" s="1"/>
  <c r="AD34"/>
  <c r="A680"/>
  <c r="J680"/>
  <c r="J441"/>
  <c r="A197"/>
  <c r="J197"/>
  <c r="J94"/>
  <c r="A94"/>
  <c r="A96" s="1"/>
  <c r="A99" s="1"/>
  <c r="A100" s="1"/>
  <c r="J203"/>
  <c r="J612"/>
  <c r="A612"/>
  <c r="D614"/>
  <c r="AB34"/>
  <c r="AK34"/>
  <c r="A918"/>
  <c r="J918"/>
  <c r="D920"/>
  <c r="D921" s="1"/>
  <c r="D70"/>
  <c r="J68"/>
  <c r="L34"/>
  <c r="A68"/>
  <c r="J169"/>
  <c r="A407"/>
  <c r="J407"/>
  <c r="A367"/>
  <c r="J367"/>
  <c r="A1156"/>
  <c r="AR34"/>
  <c r="J1156"/>
  <c r="D1158"/>
  <c r="J373"/>
  <c r="J536"/>
  <c r="A536"/>
  <c r="A538" s="1"/>
  <c r="A541" s="1"/>
  <c r="A542" s="1"/>
  <c r="M34"/>
  <c r="A102"/>
  <c r="D104"/>
  <c r="J102"/>
  <c r="A469"/>
  <c r="J469"/>
  <c r="A571"/>
  <c r="J571"/>
  <c r="A366"/>
  <c r="A368" s="1"/>
  <c r="A371" s="1"/>
  <c r="A372" s="1"/>
  <c r="A373" s="1"/>
  <c r="J366"/>
  <c r="A706"/>
  <c r="A708" s="1"/>
  <c r="A711" s="1"/>
  <c r="A712" s="1"/>
  <c r="J706"/>
  <c r="A60"/>
  <c r="A62" s="1"/>
  <c r="A65" s="1"/>
  <c r="A66" s="1"/>
  <c r="J60"/>
  <c r="J741"/>
  <c r="A741"/>
  <c r="J748"/>
  <c r="A748"/>
  <c r="AF34"/>
  <c r="D750"/>
  <c r="D308"/>
  <c r="J306"/>
  <c r="S34"/>
  <c r="A306"/>
  <c r="M31"/>
  <c r="D101"/>
  <c r="J6" i="13" s="1"/>
  <c r="J99" i="11"/>
  <c r="A537"/>
  <c r="J537"/>
  <c r="D818"/>
  <c r="J816"/>
  <c r="A816"/>
  <c r="AH34"/>
  <c r="A1013"/>
  <c r="J1013"/>
  <c r="J1258"/>
  <c r="D1260"/>
  <c r="D1261" s="1"/>
  <c r="A1258"/>
  <c r="AU34"/>
  <c r="J639"/>
  <c r="A639"/>
  <c r="D547"/>
  <c r="A543"/>
  <c r="J543"/>
  <c r="AG34"/>
  <c r="A782"/>
  <c r="J782"/>
  <c r="D784"/>
  <c r="D785" s="1"/>
  <c r="J1217"/>
  <c r="A1217"/>
  <c r="J645"/>
  <c r="A645"/>
  <c r="D309"/>
  <c r="J305"/>
  <c r="A305"/>
  <c r="J264"/>
  <c r="A264"/>
  <c r="A266" s="1"/>
  <c r="A269" s="1"/>
  <c r="A270" s="1"/>
  <c r="AJ34"/>
  <c r="D886"/>
  <c r="J884"/>
  <c r="A884"/>
  <c r="J1012"/>
  <c r="A1012"/>
  <c r="A1014" s="1"/>
  <c r="A1017" s="1"/>
  <c r="A1018" s="1"/>
  <c r="AP34"/>
  <c r="J1088"/>
  <c r="D1090"/>
  <c r="A1088"/>
  <c r="A162"/>
  <c r="A164" s="1"/>
  <c r="A167" s="1"/>
  <c r="A168" s="1"/>
  <c r="A169" s="1"/>
  <c r="J162"/>
  <c r="A842"/>
  <c r="A844" s="1"/>
  <c r="A847" s="1"/>
  <c r="A848" s="1"/>
  <c r="J842"/>
  <c r="A129"/>
  <c r="J129"/>
  <c r="J502"/>
  <c r="A502"/>
  <c r="A504" s="1"/>
  <c r="A507" s="1"/>
  <c r="A508" s="1"/>
  <c r="J815"/>
  <c r="A815"/>
  <c r="D819"/>
  <c r="A979"/>
  <c r="J979"/>
  <c r="A1284"/>
  <c r="A1286" s="1"/>
  <c r="A1289" s="1"/>
  <c r="A1290" s="1"/>
  <c r="J1284"/>
  <c r="A1182"/>
  <c r="A1184" s="1"/>
  <c r="A1187" s="1"/>
  <c r="A1188" s="1"/>
  <c r="J1182"/>
  <c r="J1148"/>
  <c r="A1148"/>
  <c r="A1150" s="1"/>
  <c r="A1153" s="1"/>
  <c r="A1154" s="1"/>
  <c r="A570"/>
  <c r="A572" s="1"/>
  <c r="A575" s="1"/>
  <c r="A576" s="1"/>
  <c r="J570"/>
  <c r="J135"/>
  <c r="D240"/>
  <c r="Q34"/>
  <c r="A238"/>
  <c r="J238"/>
  <c r="D237"/>
  <c r="J14" i="13" s="1"/>
  <c r="J235" i="11"/>
  <c r="Q31"/>
  <c r="A978"/>
  <c r="A980" s="1"/>
  <c r="A983" s="1"/>
  <c r="A984" s="1"/>
  <c r="J978"/>
  <c r="A196"/>
  <c r="A198" s="1"/>
  <c r="A201" s="1"/>
  <c r="A202" s="1"/>
  <c r="A203" s="1"/>
  <c r="J196"/>
  <c r="J843"/>
  <c r="A843"/>
  <c r="A1081"/>
  <c r="J1081"/>
  <c r="J713"/>
  <c r="A713"/>
  <c r="J638"/>
  <c r="A638"/>
  <c r="A640" s="1"/>
  <c r="A643" s="1"/>
  <c r="A644" s="1"/>
  <c r="J679"/>
  <c r="A679"/>
  <c r="D580"/>
  <c r="D581" s="1"/>
  <c r="J578"/>
  <c r="AA34"/>
  <c r="A578"/>
  <c r="J95"/>
  <c r="A95"/>
  <c r="J673"/>
  <c r="A673"/>
  <c r="V34"/>
  <c r="A408"/>
  <c r="J408"/>
  <c r="D410"/>
  <c r="A265"/>
  <c r="J265"/>
  <c r="R34"/>
  <c r="A272"/>
  <c r="J272"/>
  <c r="D274"/>
  <c r="P34"/>
  <c r="J204"/>
  <c r="D206"/>
  <c r="D207" s="1"/>
  <c r="A204"/>
  <c r="J781"/>
  <c r="A781"/>
  <c r="A917"/>
  <c r="J917"/>
  <c r="A876"/>
  <c r="A878" s="1"/>
  <c r="A881" s="1"/>
  <c r="A882" s="1"/>
  <c r="J876"/>
  <c r="J945"/>
  <c r="A945"/>
  <c r="AL34"/>
  <c r="J952"/>
  <c r="A952"/>
  <c r="D954"/>
  <c r="J1257"/>
  <c r="A1257"/>
  <c r="J1251"/>
  <c r="A1251"/>
  <c r="J1115"/>
  <c r="A1115"/>
  <c r="D1124"/>
  <c r="J1122"/>
  <c r="AQ34"/>
  <c r="A1122"/>
  <c r="A230"/>
  <c r="A232" s="1"/>
  <c r="A235" s="1"/>
  <c r="A236" s="1"/>
  <c r="J230"/>
  <c r="A503"/>
  <c r="J503"/>
  <c r="A468"/>
  <c r="A470" s="1"/>
  <c r="A473" s="1"/>
  <c r="A474" s="1"/>
  <c r="A475" s="1"/>
  <c r="J468"/>
  <c r="D1226"/>
  <c r="D1227" s="1"/>
  <c r="AT34"/>
  <c r="A1224"/>
  <c r="J1224"/>
  <c r="AB31"/>
  <c r="D611"/>
  <c r="J609"/>
  <c r="J509"/>
  <c r="A509"/>
  <c r="D513"/>
  <c r="A128"/>
  <c r="A130" s="1"/>
  <c r="A133" s="1"/>
  <c r="A134" s="1"/>
  <c r="A135" s="1"/>
  <c r="J128"/>
  <c r="J435"/>
  <c r="A435"/>
  <c r="A434"/>
  <c r="A436" s="1"/>
  <c r="A439" s="1"/>
  <c r="A440" s="1"/>
  <c r="A441" s="1"/>
  <c r="J434"/>
  <c r="D852"/>
  <c r="D853" s="1"/>
  <c r="AI34"/>
  <c r="J850"/>
  <c r="A850"/>
  <c r="A808"/>
  <c r="A810" s="1"/>
  <c r="A813" s="1"/>
  <c r="A814" s="1"/>
  <c r="J808"/>
  <c r="J877"/>
  <c r="A877"/>
  <c r="J1046"/>
  <c r="A1046"/>
  <c r="A1048" s="1"/>
  <c r="A1051" s="1"/>
  <c r="A1052" s="1"/>
  <c r="A1216"/>
  <c r="A1218" s="1"/>
  <c r="A1221" s="1"/>
  <c r="A1222" s="1"/>
  <c r="J1216"/>
  <c r="A339"/>
  <c r="J339"/>
  <c r="J910"/>
  <c r="A910"/>
  <c r="A912" s="1"/>
  <c r="A915" s="1"/>
  <c r="A916" s="1"/>
  <c r="A61"/>
  <c r="J61"/>
  <c r="J332"/>
  <c r="A332"/>
  <c r="A334" s="1"/>
  <c r="A337" s="1"/>
  <c r="A338" s="1"/>
  <c r="A747"/>
  <c r="J747"/>
  <c r="AR31"/>
  <c r="J1153"/>
  <c r="D1155"/>
  <c r="AE34"/>
  <c r="D716"/>
  <c r="J714"/>
  <c r="A714"/>
  <c r="J985"/>
  <c r="A985"/>
  <c r="J1183"/>
  <c r="A1183"/>
  <c r="J1352"/>
  <c r="A1352"/>
  <c r="A1354" s="1"/>
  <c r="A1357" s="1"/>
  <c r="A1358" s="1"/>
  <c r="A1359" s="1"/>
  <c r="J1353"/>
  <c r="A1353"/>
  <c r="AY32"/>
  <c r="D32" s="1"/>
  <c r="J32" s="1"/>
  <c r="J1392"/>
  <c r="AY34"/>
  <c r="A1394"/>
  <c r="D1396"/>
  <c r="J1394"/>
  <c r="AY31"/>
  <c r="J1391"/>
  <c r="D1393"/>
  <c r="D1363"/>
  <c r="J1359"/>
  <c r="AY28"/>
  <c r="D28" s="1"/>
  <c r="J1388"/>
  <c r="D1386"/>
  <c r="AY35"/>
  <c r="D35" s="1"/>
  <c r="A1395"/>
  <c r="J1395"/>
  <c r="C1382"/>
  <c r="AY17"/>
  <c r="C17" s="1"/>
  <c r="C25" s="1"/>
  <c r="A1362"/>
  <c r="J1362"/>
  <c r="J1325"/>
  <c r="D1329"/>
  <c r="A1325"/>
  <c r="AY29"/>
  <c r="D29" s="1"/>
  <c r="D1387"/>
  <c r="A1389"/>
  <c r="J1389"/>
  <c r="A1295"/>
  <c r="J1295"/>
  <c r="A1189" l="1"/>
  <c r="A611"/>
  <c r="A237"/>
  <c r="A67"/>
  <c r="A1019"/>
  <c r="J581"/>
  <c r="A581"/>
  <c r="A207"/>
  <c r="J207"/>
  <c r="A886"/>
  <c r="J886"/>
  <c r="J784"/>
  <c r="A784"/>
  <c r="J750"/>
  <c r="A750"/>
  <c r="J1192"/>
  <c r="A1192"/>
  <c r="J853"/>
  <c r="A853"/>
  <c r="D34"/>
  <c r="A34" s="1"/>
  <c r="D1159"/>
  <c r="J1155"/>
  <c r="D751"/>
  <c r="J1124"/>
  <c r="A1124"/>
  <c r="J954"/>
  <c r="A954"/>
  <c r="J410"/>
  <c r="A410"/>
  <c r="A139"/>
  <c r="J139"/>
  <c r="A1155"/>
  <c r="A819"/>
  <c r="J819"/>
  <c r="D1091"/>
  <c r="J1090"/>
  <c r="A1090"/>
  <c r="D105"/>
  <c r="A104"/>
  <c r="J104"/>
  <c r="J1158"/>
  <c r="A1158"/>
  <c r="J920"/>
  <c r="A920"/>
  <c r="A988"/>
  <c r="J988"/>
  <c r="J342"/>
  <c r="A342"/>
  <c r="A172"/>
  <c r="J172"/>
  <c r="J444"/>
  <c r="A444"/>
  <c r="J512"/>
  <c r="A512"/>
  <c r="D1023"/>
  <c r="J1022"/>
  <c r="A1022"/>
  <c r="A546"/>
  <c r="J546"/>
  <c r="D887"/>
  <c r="J785"/>
  <c r="A785"/>
  <c r="J70"/>
  <c r="A70"/>
  <c r="J1056"/>
  <c r="A1056"/>
  <c r="J1053"/>
  <c r="D1057"/>
  <c r="J271"/>
  <c r="D275"/>
  <c r="A648"/>
  <c r="J648"/>
  <c r="A989"/>
  <c r="J989"/>
  <c r="A1053"/>
  <c r="A513"/>
  <c r="J513"/>
  <c r="J611"/>
  <c r="D615"/>
  <c r="J921"/>
  <c r="A921"/>
  <c r="A683"/>
  <c r="J683"/>
  <c r="A271"/>
  <c r="J309"/>
  <c r="A309"/>
  <c r="A547"/>
  <c r="J547"/>
  <c r="J818"/>
  <c r="A818"/>
  <c r="J101"/>
  <c r="A101"/>
  <c r="A173"/>
  <c r="J173"/>
  <c r="A614"/>
  <c r="J614"/>
  <c r="J445"/>
  <c r="A445"/>
  <c r="J682"/>
  <c r="A682"/>
  <c r="A479"/>
  <c r="J479"/>
  <c r="J67"/>
  <c r="D71"/>
  <c r="A478"/>
  <c r="J478"/>
  <c r="J1189"/>
  <c r="D1193"/>
  <c r="D1125"/>
  <c r="A206"/>
  <c r="J206"/>
  <c r="J580"/>
  <c r="A580"/>
  <c r="A1227"/>
  <c r="J1227"/>
  <c r="D31"/>
  <c r="D33" s="1"/>
  <c r="J716"/>
  <c r="A716"/>
  <c r="A343"/>
  <c r="J343"/>
  <c r="A852"/>
  <c r="J852"/>
  <c r="A1226"/>
  <c r="J1226"/>
  <c r="A1261"/>
  <c r="J1261"/>
  <c r="J274"/>
  <c r="A274"/>
  <c r="D717"/>
  <c r="J237"/>
  <c r="D241"/>
  <c r="A240"/>
  <c r="J240"/>
  <c r="D649"/>
  <c r="A1260"/>
  <c r="J1260"/>
  <c r="J308"/>
  <c r="A308"/>
  <c r="A377"/>
  <c r="J377"/>
  <c r="D411"/>
  <c r="A376"/>
  <c r="J376"/>
  <c r="J138"/>
  <c r="A138"/>
  <c r="D955"/>
  <c r="A1087"/>
  <c r="A1387"/>
  <c r="J1387"/>
  <c r="J1393"/>
  <c r="D1397"/>
  <c r="J34"/>
  <c r="A28"/>
  <c r="J28"/>
  <c r="J29"/>
  <c r="A29"/>
  <c r="J1386"/>
  <c r="A1386"/>
  <c r="A1388" s="1"/>
  <c r="A1391" s="1"/>
  <c r="A1392" s="1"/>
  <c r="A1393" s="1"/>
  <c r="J1363"/>
  <c r="A1363"/>
  <c r="J35"/>
  <c r="A35"/>
  <c r="A1329"/>
  <c r="J1329"/>
  <c r="J1396"/>
  <c r="A1396"/>
  <c r="D36" l="1"/>
  <c r="J36" s="1"/>
  <c r="J31"/>
  <c r="A1159"/>
  <c r="J1159"/>
  <c r="A1193"/>
  <c r="J1193"/>
  <c r="A71"/>
  <c r="J71"/>
  <c r="J1057"/>
  <c r="A1057"/>
  <c r="J887"/>
  <c r="A887"/>
  <c r="A717"/>
  <c r="J717"/>
  <c r="J1125"/>
  <c r="A1125"/>
  <c r="A31"/>
  <c r="A32" s="1"/>
  <c r="A33" s="1"/>
  <c r="J241"/>
  <c r="A241"/>
  <c r="A615"/>
  <c r="J615"/>
  <c r="A1023"/>
  <c r="J1023"/>
  <c r="A1091"/>
  <c r="J1091"/>
  <c r="J751"/>
  <c r="A751"/>
  <c r="A411"/>
  <c r="J411"/>
  <c r="A955"/>
  <c r="J955"/>
  <c r="A649"/>
  <c r="J649"/>
  <c r="A275"/>
  <c r="J275"/>
  <c r="A105"/>
  <c r="J105"/>
  <c r="J33"/>
  <c r="A1397"/>
  <c r="J1397"/>
  <c r="D37" l="1"/>
  <c r="J37" s="1"/>
  <c r="A36"/>
  <c r="A37" l="1"/>
</calcChain>
</file>

<file path=xl/sharedStrings.xml><?xml version="1.0" encoding="utf-8"?>
<sst xmlns="http://schemas.openxmlformats.org/spreadsheetml/2006/main" count="2009" uniqueCount="265">
  <si>
    <t>м/з тип Б для вырав., т</t>
  </si>
  <si>
    <r>
      <t xml:space="preserve">НДС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</si>
  <si>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t>Стоимость материалов с учетом доставки до  места работ (франко-объект)</t>
  </si>
  <si>
    <t>Щебень фр. 10-20 мм М-600, м3</t>
  </si>
  <si>
    <t>Битум вязкий на розлив, т</t>
  </si>
  <si>
    <t>Сметная прибыль</t>
  </si>
  <si>
    <t>Накладные расходы, руб.</t>
  </si>
  <si>
    <t>Перевозка рабочих, руб.</t>
  </si>
  <si>
    <t>Переходящий</t>
  </si>
  <si>
    <t>Битум модифицированный, т</t>
  </si>
  <si>
    <t>Оборудование</t>
  </si>
  <si>
    <t>Щебень фр. 10-15 мм по ресурсному, м3</t>
  </si>
  <si>
    <t>достоверность</t>
  </si>
  <si>
    <t>Год</t>
  </si>
  <si>
    <t>Значение инфляции</t>
  </si>
  <si>
    <t>Наименование</t>
  </si>
  <si>
    <t>Разрядность</t>
  </si>
  <si>
    <t>Дата составления расчета</t>
  </si>
  <si>
    <t xml:space="preserve"> </t>
  </si>
  <si>
    <t>ЩМА "Тopcel", т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</si>
  <si>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</si>
  <si>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t>Щебень фр. 20-40 мм М-600, м3</t>
  </si>
  <si>
    <t>Битум жидкий, т</t>
  </si>
  <si>
    <t>Стоимость эксплуатации машин и механизмов</t>
  </si>
  <si>
    <t>Накладные  расходы</t>
  </si>
  <si>
    <r>
      <t xml:space="preserve">НДС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</si>
  <si>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НДС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</si>
  <si>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ВЗиС (монтажные), руб.</t>
  </si>
  <si>
    <t>Фонд оплаты труда в составе прямых затрат</t>
  </si>
  <si>
    <t>Щебень фр. 40-70 мм, м3</t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</si>
  <si>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</si>
  <si>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</si>
  <si>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</si>
  <si>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Итого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</si>
  <si>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Итого по гл.1-7, руб.</t>
  </si>
  <si>
    <t>Район</t>
  </si>
  <si>
    <t>Сметная прибыль, руб.</t>
  </si>
  <si>
    <t>Стоимость материалов с учетом доставки до места работ (франко-объект), руб.</t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</si>
  <si>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(монтажные)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</si>
  <si>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</si>
  <si>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Щебень фр. 15-20 мм по ресурсному, м3</t>
  </si>
  <si>
    <t>ВЗиС (строительные), руб.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</si>
  <si>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</si>
  <si>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t xml:space="preserve">Количество дней  </t>
  </si>
  <si>
    <t xml:space="preserve">Дата
</t>
  </si>
  <si>
    <t>Инфляция,%</t>
  </si>
  <si>
    <t>Непредвиденные расходы</t>
  </si>
  <si>
    <r>
      <t xml:space="preserve">НДС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</si>
  <si>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Щебень фр. 5-20 мм М-600, м3</t>
  </si>
  <si>
    <t>Строительные работы, руб</t>
  </si>
  <si>
    <t>Монтажные работы, руб</t>
  </si>
  <si>
    <r>
      <t>ПНР</t>
    </r>
    <r>
      <rPr>
        <b/>
        <sz val="8"/>
        <color indexed="8"/>
        <rFont val="Times New Roman"/>
        <family val="1"/>
        <charset val="204"/>
      </rPr>
      <t xml:space="preserve"> (прочие в главе 9), руб.</t>
    </r>
  </si>
  <si>
    <t>Оборудование, руб.</t>
  </si>
  <si>
    <t>№ п/п</t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</si>
  <si>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(оборудование)</t>
    </r>
    <r>
      <rPr>
        <b/>
        <sz val="8"/>
        <color indexed="8"/>
        <rFont val="Times New Roman"/>
        <family val="1"/>
        <charset val="204"/>
      </rPr>
      <t>, руб.</t>
    </r>
  </si>
  <si>
    <r>
      <t xml:space="preserve">Инфляция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</si>
  <si>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ЩМА "Duroflex", т</t>
  </si>
  <si>
    <t>Строительные в главе 9, руб.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</si>
  <si>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(прочие)</t>
    </r>
    <r>
      <rPr>
        <b/>
        <sz val="8"/>
        <color indexed="8"/>
        <rFont val="Times New Roman"/>
        <family val="1"/>
        <charset val="204"/>
      </rPr>
      <t>, руб.</t>
    </r>
  </si>
  <si>
    <t>Монтажные в главе 9, руб.</t>
  </si>
  <si>
    <t>Щебень фр. 5-20 мм по ресурсному, м3</t>
  </si>
  <si>
    <t>Старые значения</t>
  </si>
  <si>
    <t>Строительно-монтажные работы, руб.</t>
  </si>
  <si>
    <t>Фонд оплаты труда, руб.</t>
  </si>
  <si>
    <t>для переходящих</t>
  </si>
  <si>
    <t>потребительских цен для содержания</t>
  </si>
  <si>
    <t>вид работ</t>
  </si>
  <si>
    <t>ВЗиС, %</t>
  </si>
  <si>
    <t>Пер.раб., %</t>
  </si>
  <si>
    <t>Страхование, %</t>
  </si>
  <si>
    <t>Восстановление оси (прочие по гл.1-7), руб.</t>
  </si>
  <si>
    <t>Итого расходы и затраты, руб.</t>
  </si>
  <si>
    <t>ПГС по ресурсному, м3</t>
  </si>
  <si>
    <t>м/з тип Б, т</t>
  </si>
  <si>
    <t>м/з тип В, т</t>
  </si>
  <si>
    <t>к/з, т</t>
  </si>
  <si>
    <t>ч/щ, т</t>
  </si>
  <si>
    <t>Наименование объекта, привязка</t>
  </si>
  <si>
    <t>Щебень фр. 20-40 мм по ресурсному, м3</t>
  </si>
  <si>
    <t>Прочие затраты</t>
  </si>
  <si>
    <t>подбираемое значение</t>
  </si>
  <si>
    <r>
      <t xml:space="preserve">Непредвиденные </t>
    </r>
    <r>
      <rPr>
        <b/>
        <sz val="8"/>
        <color indexed="10"/>
        <rFont val="Times New Roman"/>
        <family val="1"/>
        <charset val="204"/>
      </rPr>
      <t>(строительные)</t>
    </r>
    <r>
      <rPr>
        <b/>
        <sz val="8"/>
        <color indexed="8"/>
        <rFont val="Times New Roman"/>
        <family val="1"/>
        <charset val="204"/>
      </rPr>
      <t>, руб.</t>
    </r>
  </si>
  <si>
    <t>Стоимость эксплуатации машин и механизмов, руб.</t>
  </si>
  <si>
    <t>Страхование, руб.</t>
  </si>
  <si>
    <t>Непредвиденные расходы и затраты, руб.</t>
  </si>
  <si>
    <t>Щебень фр. 10-20 мм, м3</t>
  </si>
  <si>
    <t>Дата передачи в отдел договоров</t>
  </si>
  <si>
    <t>Наименование затрат</t>
  </si>
  <si>
    <t>Значения</t>
  </si>
  <si>
    <t>Песок по ресурсному, м3</t>
  </si>
  <si>
    <t>Щебень фр. 0-10 мм (отсев) по ресурсному, м3</t>
  </si>
  <si>
    <t>Расчет уровня инфляции на 2013 год</t>
  </si>
  <si>
    <t>Расчет уровня инфляции на 2014 год</t>
  </si>
  <si>
    <t>Дефляторы уточненные</t>
  </si>
  <si>
    <t>Дата формир. протокола</t>
  </si>
  <si>
    <t>Бетон, м3</t>
  </si>
  <si>
    <t>Арматура, т (сетки, каркасы, стержни)</t>
  </si>
  <si>
    <t>Инфляция 2014 года, руб.</t>
  </si>
  <si>
    <t>Конец срока фин-я работ в 2014 г (Месяц)</t>
  </si>
  <si>
    <t>Инфл. 2014 г, %</t>
  </si>
  <si>
    <t>Финансирование в 2014 году</t>
  </si>
  <si>
    <t>Расчет уровня инфляции на высокосный год</t>
  </si>
  <si>
    <t>Для Назаренко уточнены  11.2012</t>
  </si>
  <si>
    <t>оценка</t>
  </si>
  <si>
    <t>прогноз</t>
  </si>
  <si>
    <t>Дата передачи в отдел НТР</t>
  </si>
  <si>
    <t>от 11.2012</t>
  </si>
  <si>
    <t>от 10.2011</t>
  </si>
  <si>
    <t>Дефляторы уточненные, от 11.2012</t>
  </si>
  <si>
    <t>Итого на 2014 г расходы и затраты, руб.</t>
  </si>
  <si>
    <t>Инфляция 2015 года, руб.</t>
  </si>
  <si>
    <t>НДС 2015 года, руб.</t>
  </si>
  <si>
    <t>Начало срока фин-я работ в 2014г (Месяц)</t>
  </si>
  <si>
    <t>Начало срока фин-я работ в 2015 г (Месяц)</t>
  </si>
  <si>
    <t>Конец срока фин-я работ в 2015 г (Месяц)</t>
  </si>
  <si>
    <t>Середина срока фин-я работ в 2014 г</t>
  </si>
  <si>
    <t>Середина срока фин-я работ в 2015 г</t>
  </si>
  <si>
    <t>Инфл. 2015 г, %</t>
  </si>
  <si>
    <t>Финансирование в 2015 году</t>
  </si>
  <si>
    <t>Итого на 2014 г (строительные), руб.</t>
  </si>
  <si>
    <t>Итого на 2014 г (монтажные), руб.</t>
  </si>
  <si>
    <t>Итого на 2014 г (оборудование), руб.</t>
  </si>
  <si>
    <t>Итого на 2014 г (восстановление оси), руб.</t>
  </si>
  <si>
    <t>Процент на 2014 г</t>
  </si>
  <si>
    <t>сумма на 2014 г</t>
  </si>
  <si>
    <t>Расчет уровня инфляции на 2015 год</t>
  </si>
  <si>
    <t>Итого на 2014 г (прочие), руб.</t>
  </si>
  <si>
    <t>НДС 2014 года, руб.</t>
  </si>
  <si>
    <t>Содержание</t>
  </si>
  <si>
    <t>Уровень цен</t>
  </si>
  <si>
    <t>01.08.2013</t>
  </si>
  <si>
    <t>01.06.2013</t>
  </si>
  <si>
    <t>Реконструкция</t>
  </si>
  <si>
    <t>Кап.ремонт (АВ)</t>
  </si>
  <si>
    <t>Кап.ремонт</t>
  </si>
  <si>
    <t>Освещение</t>
  </si>
  <si>
    <t>Обл. ремонт</t>
  </si>
  <si>
    <t>3кв. 2013</t>
  </si>
  <si>
    <t xml:space="preserve">Кап.ремонт </t>
  </si>
  <si>
    <t>4кв. 2012</t>
  </si>
  <si>
    <t>1кв. 2013</t>
  </si>
  <si>
    <t>Строительство</t>
  </si>
  <si>
    <t>2кв. 2013</t>
  </si>
  <si>
    <t>2кв. 2012</t>
  </si>
  <si>
    <t>1кв. 2012</t>
  </si>
  <si>
    <t>4кв. 2013</t>
  </si>
  <si>
    <t>Утверждаю</t>
  </si>
  <si>
    <t xml:space="preserve">                   м.п.</t>
  </si>
  <si>
    <t>Раздел 6. Обоснование начальной (максимальной) цены контракта (лота)</t>
  </si>
  <si>
    <t>Таблица. Расчет начальной (максимальной) цены контракта</t>
  </si>
  <si>
    <t>Раздел I. Сметная стоимость в текущих ценах</t>
  </si>
  <si>
    <t>Индексы-дефляторы Минэкономразвития РФ, применяемые к сметной стоимости</t>
  </si>
  <si>
    <t>Ед. изм.</t>
  </si>
  <si>
    <t>%</t>
  </si>
  <si>
    <t>Рост стоимости 2014 г.</t>
  </si>
  <si>
    <t>Рост стоимости 2015 г.</t>
  </si>
  <si>
    <t>руб.</t>
  </si>
  <si>
    <t>Раздел III. Начальная (максимальная) цена</t>
  </si>
  <si>
    <t>Всего с НДС</t>
  </si>
  <si>
    <t>НДС 18%</t>
  </si>
  <si>
    <t>3кв. 2012</t>
  </si>
  <si>
    <t>Раздел II. Расчет прогнозного роста стоимости на период производства работ</t>
  </si>
  <si>
    <r>
      <t xml:space="preserve">Начальная цена заказчика </t>
    </r>
    <r>
      <rPr>
        <b/>
        <sz val="8"/>
        <color rgb="FFFF0000"/>
        <rFont val="Times New Roman"/>
        <family val="1"/>
        <charset val="204"/>
      </rPr>
      <t>ПСМ</t>
    </r>
    <r>
      <rPr>
        <b/>
        <sz val="8"/>
        <color indexed="8"/>
        <rFont val="Times New Roman"/>
        <family val="1"/>
        <charset val="204"/>
      </rPr>
      <t>, руб.</t>
    </r>
  </si>
  <si>
    <t>Используемый метод определения начальной (максимальной) цены контракта: Затратный метод</t>
  </si>
  <si>
    <t xml:space="preserve">Обоснование выбранного метода определения начальной (максимальной) цены контракта: часть 10 статьи 22 федерального закона от 05.04.2013 г. №44-ФЗ </t>
  </si>
  <si>
    <t>Ремонты</t>
  </si>
  <si>
    <t>Расчет уровня инфляции для РЕМОНТОВ</t>
  </si>
  <si>
    <t>Расчет уровня инфляции для СОДЕРЖАНИЯ</t>
  </si>
  <si>
    <t>Индексы потребительских цен Минэкономразвития РФ, применяемые к сметной стоимости</t>
  </si>
  <si>
    <t>Итого без НДС</t>
  </si>
  <si>
    <t>Приложение №1</t>
  </si>
  <si>
    <t>Приложение №2</t>
  </si>
  <si>
    <t>Приложение №3</t>
  </si>
  <si>
    <t>Приложение №4</t>
  </si>
  <si>
    <t>Приложение №5</t>
  </si>
  <si>
    <t>Приложение №6</t>
  </si>
  <si>
    <t>Приложение №7</t>
  </si>
  <si>
    <t>Приложение №8</t>
  </si>
  <si>
    <t>Приложение №9</t>
  </si>
  <si>
    <t>Приложение №10</t>
  </si>
  <si>
    <t>Приложение №11</t>
  </si>
  <si>
    <t>Приложение №12</t>
  </si>
  <si>
    <t>Приложение №13</t>
  </si>
  <si>
    <t>Приложение №14</t>
  </si>
  <si>
    <t>Приложение №15</t>
  </si>
  <si>
    <t>Приложение №16</t>
  </si>
  <si>
    <t>Приложение №17</t>
  </si>
  <si>
    <t>Приложение №18</t>
  </si>
  <si>
    <t>Приложение №19</t>
  </si>
  <si>
    <t>Приложение №20</t>
  </si>
  <si>
    <t>Приложение №21</t>
  </si>
  <si>
    <t>Приложение №22</t>
  </si>
  <si>
    <t>Приложение №23</t>
  </si>
  <si>
    <t>Приложение №24</t>
  </si>
  <si>
    <t>Содержание ТР</t>
  </si>
  <si>
    <t>Безопасность по содержанию (барьерка)</t>
  </si>
  <si>
    <t>Труба</t>
  </si>
  <si>
    <t>АП</t>
  </si>
  <si>
    <t>Ремонт</t>
  </si>
  <si>
    <t>Безопасность по ремонтам</t>
  </si>
  <si>
    <t>Олимпиада Строительство</t>
  </si>
  <si>
    <t>ИС прочие</t>
  </si>
  <si>
    <r>
      <t xml:space="preserve">Значение которое надо подобрать в </t>
    </r>
    <r>
      <rPr>
        <b/>
        <sz val="8"/>
        <color indexed="10"/>
        <rFont val="Times New Roman"/>
        <family val="1"/>
        <charset val="204"/>
      </rPr>
      <t>GB</t>
    </r>
    <r>
      <rPr>
        <b/>
        <sz val="8"/>
        <color indexed="8"/>
        <rFont val="Times New Roman"/>
        <family val="1"/>
        <charset val="204"/>
      </rPr>
      <t xml:space="preserve"> при изменении в </t>
    </r>
    <r>
      <rPr>
        <b/>
        <sz val="8"/>
        <color indexed="10"/>
        <rFont val="Times New Roman"/>
        <family val="1"/>
        <charset val="204"/>
      </rPr>
      <t>FW</t>
    </r>
  </si>
  <si>
    <t>Всего с НДС на 2015 г.</t>
  </si>
  <si>
    <t>Итого стоимость работ с учетом срока производства работ на 2015 г.</t>
  </si>
  <si>
    <t>Всего с НДС на 2014 г.</t>
  </si>
  <si>
    <t>Итого стоимость работ с учетом срока производства работ на 2014 г.</t>
  </si>
  <si>
    <t>&lt;&gt;#Н/Д</t>
  </si>
  <si>
    <t>Мост</t>
  </si>
  <si>
    <t>Деф швы</t>
  </si>
  <si>
    <t>Все остальное</t>
  </si>
  <si>
    <t>1кв. 2014</t>
  </si>
  <si>
    <t>2кв. 2014</t>
  </si>
  <si>
    <t>01.07.2013</t>
  </si>
  <si>
    <t>01.01.2013</t>
  </si>
  <si>
    <t>01.02.2013</t>
  </si>
  <si>
    <t>01.03.2013</t>
  </si>
  <si>
    <t>01.04.2013</t>
  </si>
  <si>
    <t>01.05.2013</t>
  </si>
  <si>
    <t>01.09.2013</t>
  </si>
  <si>
    <t>01.10.2013</t>
  </si>
  <si>
    <t>01.11.2013</t>
  </si>
  <si>
    <t>01.12.2013</t>
  </si>
  <si>
    <t>3кв. 2014</t>
  </si>
  <si>
    <t>4кв. 2014</t>
  </si>
  <si>
    <t>инфляция на 2014год</t>
  </si>
  <si>
    <t>Инфляция до 2014г</t>
  </si>
  <si>
    <r>
      <t xml:space="preserve">Утверждаю </t>
    </r>
    <r>
      <rPr>
        <b/>
        <u/>
        <sz val="8"/>
        <color indexed="10"/>
        <rFont val="Times New Roman"/>
        <family val="1"/>
        <charset val="204"/>
      </rPr>
      <t>(должность)</t>
    </r>
    <r>
      <rPr>
        <b/>
        <sz val="8"/>
        <rFont val="Times New Roman"/>
        <family val="1"/>
        <charset val="204"/>
      </rPr>
      <t>:</t>
    </r>
  </si>
  <si>
    <r>
      <t xml:space="preserve">Утверждаю </t>
    </r>
    <r>
      <rPr>
        <b/>
        <u/>
        <sz val="8"/>
        <color indexed="10"/>
        <rFont val="Times New Roman"/>
        <family val="1"/>
        <charset val="204"/>
      </rPr>
      <t>(Ф.И.О.)</t>
    </r>
    <r>
      <rPr>
        <b/>
        <sz val="8"/>
        <rFont val="Times New Roman"/>
        <family val="1"/>
        <charset val="204"/>
      </rPr>
      <t>:</t>
    </r>
  </si>
  <si>
    <t>Приложение №25</t>
  </si>
  <si>
    <t>Приложение №26</t>
  </si>
  <si>
    <t>Приложение №27</t>
  </si>
  <si>
    <t>Приложение №28</t>
  </si>
  <si>
    <t>Приложение №29</t>
  </si>
  <si>
    <t>Приложение №30</t>
  </si>
  <si>
    <t>Приложение №31</t>
  </si>
  <si>
    <t>Приложение №32</t>
  </si>
  <si>
    <t>Приложение №33</t>
  </si>
  <si>
    <t>Приложение №34</t>
  </si>
  <si>
    <t>Приложение №35</t>
  </si>
  <si>
    <t>Приложение №36</t>
  </si>
  <si>
    <t>Приложение №37</t>
  </si>
  <si>
    <t>Приложение №38</t>
  </si>
  <si>
    <t>Приложение №39</t>
  </si>
  <si>
    <t>Приложение №40</t>
  </si>
  <si>
    <t>1кв. 2011</t>
  </si>
  <si>
    <t>2кв. 2011</t>
  </si>
  <si>
    <t>3кв. 2011</t>
  </si>
  <si>
    <t>4кв. 2011</t>
  </si>
  <si>
    <t>Протяженность, км</t>
  </si>
  <si>
    <t>Темрюкский</t>
  </si>
  <si>
    <t>Ремонт ул. Комсомольской от пер. Урицкого до пер. Шевченко в ст-це Вышестеблиевской</t>
  </si>
  <si>
    <t>Ремонт ул. Пушкина от ПК 0+00 (пер.Красноармейский) до ПК 2+09 (отд.№2) в ст-це Вышестеблиевской</t>
  </si>
  <si>
    <t>Ремонт ул. Кооперативной от ПК 0+00(пер. Почтовый) до ПК 2+27 и от ПК 2+42 до ПК 3+94 (пер.Лермонтова)  в ст-це Вышестеблиевской</t>
  </si>
  <si>
    <t>Ремонт пер. Володарского от  ул.Октябрьской до ул. Пушкина в ст-це Вышестеблиевской</t>
  </si>
  <si>
    <t>Глава Вышестеблиевского сельского  поселения Темрюкского района</t>
  </si>
  <si>
    <t>Реализация мероприятий подпрограммы "Капитальный ремонт и ремонт автомобильных дорог местного значения Краснодарского края на  2014-2016 годы"   в Вышестеблиевском сельском поселении Темрюкского района государственной программы Краснодарского края "Комплексное и устойчивое развитие Краснодарского края в сфере строительства, архитектуры и дорожного хозяйства"</t>
  </si>
  <si>
    <t>П.К.Хаджиди</t>
  </si>
  <si>
    <t>Ремонт пер. Ворошилова от ул. Кооперативной до пер. Пионерского в ст-це Вышестеблиевской</t>
  </si>
  <si>
    <t>Ремонт пер.Урицкого от ул. Комсомольской до ул. Пушкина в ст-це Вышестеблиевской</t>
  </si>
  <si>
    <t>Ремонт ул. Пушкина  от пер. Урицкого до пер. Шевченко в ст-це Вышестеблиевской</t>
  </si>
  <si>
    <t>Ремонт ул. Школьной от ПК 0+00 (ул. Ломоносова) до ПК 1+42 (дорога на кладбище) в пос. Виноградном.</t>
  </si>
  <si>
    <t>Заместитель главы Вышестеблиевского сельского поселения Темрюкского района</t>
  </si>
  <si>
    <t>Н.Д.Шевченко</t>
  </si>
  <si>
    <t xml:space="preserve">Ремонт улично-дорожной сети   в Вышестеблиевском сельском поселении Темрюкского района </t>
  </si>
</sst>
</file>

<file path=xl/styles.xml><?xml version="1.0" encoding="utf-8"?>
<styleSheet xmlns="http://schemas.openxmlformats.org/spreadsheetml/2006/main">
  <numFmts count="8">
    <numFmt numFmtId="164" formatCode="0.0%"/>
    <numFmt numFmtId="165" formatCode="0.000%"/>
    <numFmt numFmtId="166" formatCode="0.0"/>
    <numFmt numFmtId="167" formatCode="0.00000%"/>
    <numFmt numFmtId="168" formatCode="yyyy/mm/dd"/>
    <numFmt numFmtId="169" formatCode="0.00000000000%"/>
    <numFmt numFmtId="170" formatCode="[$-F800]dddd\,\ mmmm\ dd\,\ yyyy"/>
    <numFmt numFmtId="171" formatCode="0.000000%"/>
  </numFmts>
  <fonts count="45">
    <font>
      <sz val="10"/>
      <color indexed="8"/>
      <name val="MS Sans Serif"/>
      <charset val="204"/>
    </font>
    <font>
      <sz val="8"/>
      <color indexed="8"/>
      <name val="MS Sans Serif"/>
      <family val="2"/>
      <charset val="204"/>
    </font>
    <font>
      <b/>
      <sz val="12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sz val="8"/>
      <color indexed="5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2"/>
      <color indexed="8"/>
      <name val="Times New Roman"/>
      <family val="1"/>
      <charset val="204"/>
    </font>
    <font>
      <sz val="2"/>
      <color indexed="8"/>
      <name val="Times New Roman"/>
      <family val="1"/>
      <charset val="204"/>
    </font>
    <font>
      <b/>
      <sz val="2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b/>
      <sz val="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</font>
    <font>
      <b/>
      <u/>
      <sz val="8"/>
      <color indexed="10"/>
      <name val="Times New Roman"/>
      <family val="1"/>
      <charset val="204"/>
    </font>
    <font>
      <sz val="2"/>
      <name val="Times New Roman"/>
      <family val="1"/>
      <charset val="204"/>
    </font>
    <font>
      <u/>
      <sz val="2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b/>
      <sz val="12"/>
      <color indexed="8"/>
      <name val="MS Sans Serif"/>
      <family val="2"/>
      <charset val="204"/>
    </font>
    <font>
      <u/>
      <sz val="8.5"/>
      <color indexed="8"/>
      <name val="MS Sans Serif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hair">
        <color indexed="64"/>
      </bottom>
      <diagonal/>
    </border>
    <border>
      <left style="hair">
        <color indexed="23"/>
      </left>
      <right style="hair">
        <color indexed="64"/>
      </right>
      <top style="hair">
        <color indexed="2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23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9" fontId="1" fillId="0" borderId="0" applyFont="0" applyFill="0" applyBorder="0" applyAlignment="0" applyProtection="0"/>
    <xf numFmtId="0" fontId="36" fillId="0" borderId="0"/>
  </cellStyleXfs>
  <cellXfs count="311">
    <xf numFmtId="0" fontId="0" fillId="0" borderId="0" xfId="0"/>
    <xf numFmtId="14" fontId="2" fillId="0" borderId="0" xfId="1" applyNumberFormat="1" applyFont="1" applyFill="1" applyBorder="1" applyAlignment="1">
      <alignment horizontal="left"/>
    </xf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5" fillId="0" borderId="0" xfId="1" applyFont="1" applyFill="1"/>
    <xf numFmtId="0" fontId="4" fillId="0" borderId="1" xfId="1" applyFont="1" applyFill="1" applyBorder="1" applyAlignment="1">
      <alignment horizontal="center" vertical="justify"/>
    </xf>
    <xf numFmtId="14" fontId="4" fillId="0" borderId="1" xfId="1" applyNumberFormat="1" applyFont="1" applyFill="1" applyBorder="1" applyAlignment="1">
      <alignment horizontal="center" vertical="justify" wrapText="1"/>
    </xf>
    <xf numFmtId="164" fontId="4" fillId="0" borderId="1" xfId="1" applyNumberFormat="1" applyFont="1" applyFill="1" applyBorder="1" applyAlignment="1">
      <alignment horizontal="center" vertical="justify"/>
    </xf>
    <xf numFmtId="0" fontId="4" fillId="0" borderId="0" xfId="1" applyFont="1" applyFill="1" applyAlignment="1">
      <alignment vertical="justify"/>
    </xf>
    <xf numFmtId="0" fontId="4" fillId="0" borderId="2" xfId="1" applyFont="1" applyFill="1" applyBorder="1" applyAlignment="1">
      <alignment horizontal="center" vertical="justify"/>
    </xf>
    <xf numFmtId="14" fontId="4" fillId="0" borderId="2" xfId="1" applyNumberFormat="1" applyFont="1" applyFill="1" applyBorder="1" applyAlignment="1">
      <alignment horizontal="center" vertical="justify" wrapText="1"/>
    </xf>
    <xf numFmtId="0" fontId="5" fillId="0" borderId="3" xfId="1" applyFont="1" applyFill="1" applyBorder="1" applyAlignment="1">
      <alignment horizontal="center"/>
    </xf>
    <xf numFmtId="14" fontId="5" fillId="0" borderId="3" xfId="1" applyNumberFormat="1" applyFont="1" applyFill="1" applyBorder="1" applyAlignment="1">
      <alignment horizontal="center" vertical="justify"/>
    </xf>
    <xf numFmtId="10" fontId="5" fillId="0" borderId="3" xfId="2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10" fontId="5" fillId="0" borderId="4" xfId="2" applyNumberFormat="1" applyFont="1" applyFill="1" applyBorder="1" applyAlignment="1">
      <alignment horizontal="center"/>
    </xf>
    <xf numFmtId="14" fontId="5" fillId="0" borderId="0" xfId="1" applyNumberFormat="1" applyFont="1" applyFill="1" applyAlignment="1">
      <alignment horizontal="center"/>
    </xf>
    <xf numFmtId="0" fontId="4" fillId="0" borderId="6" xfId="1" applyFont="1" applyFill="1" applyBorder="1" applyAlignment="1" applyProtection="1">
      <alignment horizontal="center" vertical="justify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1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4" xfId="1" applyNumberFormat="1" applyFont="1" applyFill="1" applyBorder="1" applyAlignment="1" applyProtection="1">
      <alignment horizontal="center"/>
      <protection hidden="1"/>
    </xf>
    <xf numFmtId="10" fontId="5" fillId="0" borderId="4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166" fontId="4" fillId="0" borderId="2" xfId="1" applyNumberFormat="1" applyFont="1" applyFill="1" applyBorder="1" applyAlignment="1">
      <alignment horizontal="center" vertical="justify"/>
    </xf>
    <xf numFmtId="10" fontId="5" fillId="0" borderId="2" xfId="1" applyNumberFormat="1" applyFont="1" applyFill="1" applyBorder="1" applyAlignment="1" applyProtection="1">
      <alignment horizontal="center"/>
      <protection hidden="1"/>
    </xf>
    <xf numFmtId="10" fontId="5" fillId="0" borderId="0" xfId="1" applyNumberFormat="1" applyFont="1" applyFill="1"/>
    <xf numFmtId="0" fontId="4" fillId="4" borderId="0" xfId="1" applyFont="1" applyFill="1" applyAlignment="1">
      <alignment vertical="justify"/>
    </xf>
    <xf numFmtId="0" fontId="4" fillId="4" borderId="0" xfId="1" applyFont="1" applyFill="1" applyAlignment="1">
      <alignment vertical="center"/>
    </xf>
    <xf numFmtId="14" fontId="5" fillId="5" borderId="3" xfId="1" applyNumberFormat="1" applyFont="1" applyFill="1" applyBorder="1" applyAlignment="1">
      <alignment horizontal="center" vertical="justify"/>
    </xf>
    <xf numFmtId="10" fontId="5" fillId="5" borderId="4" xfId="2" applyNumberFormat="1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14" fontId="5" fillId="0" borderId="0" xfId="1" applyNumberFormat="1" applyFont="1" applyFill="1"/>
    <xf numFmtId="10" fontId="5" fillId="9" borderId="4" xfId="1" applyNumberFormat="1" applyFont="1" applyFill="1" applyBorder="1" applyAlignment="1" applyProtection="1">
      <alignment horizontal="center"/>
      <protection hidden="1"/>
    </xf>
    <xf numFmtId="10" fontId="5" fillId="8" borderId="4" xfId="1" applyNumberFormat="1" applyFont="1" applyFill="1" applyBorder="1" applyAlignment="1" applyProtection="1">
      <alignment horizontal="center"/>
      <protection hidden="1"/>
    </xf>
    <xf numFmtId="10" fontId="25" fillId="0" borderId="0" xfId="1" applyNumberFormat="1" applyFont="1" applyFill="1"/>
    <xf numFmtId="0" fontId="25" fillId="8" borderId="0" xfId="1" applyFont="1" applyFill="1"/>
    <xf numFmtId="0" fontId="5" fillId="8" borderId="0" xfId="1" applyFont="1" applyFill="1"/>
    <xf numFmtId="0" fontId="25" fillId="0" borderId="0" xfId="1" applyFont="1" applyFill="1"/>
    <xf numFmtId="14" fontId="4" fillId="0" borderId="0" xfId="1" applyNumberFormat="1" applyFont="1" applyFill="1" applyBorder="1" applyAlignment="1">
      <alignment horizontal="center" wrapText="1"/>
    </xf>
    <xf numFmtId="14" fontId="4" fillId="0" borderId="0" xfId="1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vertical="center"/>
    </xf>
    <xf numFmtId="0" fontId="5" fillId="11" borderId="0" xfId="1" applyFont="1" applyFill="1" applyAlignment="1">
      <alignment horizontal="center" vertical="center"/>
    </xf>
    <xf numFmtId="0" fontId="4" fillId="11" borderId="0" xfId="1" applyFont="1" applyFill="1" applyAlignment="1">
      <alignment horizontal="center" vertical="center"/>
    </xf>
    <xf numFmtId="0" fontId="5" fillId="13" borderId="0" xfId="1" applyFont="1" applyFill="1" applyAlignment="1">
      <alignment horizontal="center" vertical="center"/>
    </xf>
    <xf numFmtId="0" fontId="4" fillId="13" borderId="0" xfId="1" applyFont="1" applyFill="1" applyAlignment="1">
      <alignment horizontal="center" vertical="center" wrapText="1"/>
    </xf>
    <xf numFmtId="10" fontId="5" fillId="11" borderId="1" xfId="1" applyNumberFormat="1" applyFont="1" applyFill="1" applyBorder="1" applyAlignment="1" applyProtection="1">
      <alignment horizontal="center" vertical="center"/>
      <protection hidden="1"/>
    </xf>
    <xf numFmtId="10" fontId="5" fillId="11" borderId="4" xfId="1" applyNumberFormat="1" applyFont="1" applyFill="1" applyBorder="1" applyAlignment="1" applyProtection="1">
      <alignment horizontal="center" vertical="center"/>
      <protection hidden="1"/>
    </xf>
    <xf numFmtId="10" fontId="5" fillId="13" borderId="1" xfId="1" applyNumberFormat="1" applyFont="1" applyFill="1" applyBorder="1" applyAlignment="1" applyProtection="1">
      <alignment horizontal="center" vertical="center"/>
      <protection hidden="1"/>
    </xf>
    <xf numFmtId="10" fontId="5" fillId="13" borderId="4" xfId="1" applyNumberFormat="1" applyFont="1" applyFill="1" applyBorder="1" applyAlignment="1" applyProtection="1">
      <alignment horizontal="center" vertical="center"/>
      <protection hidden="1"/>
    </xf>
    <xf numFmtId="10" fontId="38" fillId="11" borderId="2" xfId="1" applyNumberFormat="1" applyFont="1" applyFill="1" applyBorder="1" applyAlignment="1" applyProtection="1">
      <alignment horizontal="center" vertical="center"/>
      <protection hidden="1"/>
    </xf>
    <xf numFmtId="10" fontId="38" fillId="13" borderId="2" xfId="1" applyNumberFormat="1" applyFont="1" applyFill="1" applyBorder="1" applyAlignment="1" applyProtection="1">
      <alignment horizontal="center" vertical="center"/>
      <protection hidden="1"/>
    </xf>
    <xf numFmtId="14" fontId="2" fillId="0" borderId="14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14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11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14" fontId="5" fillId="0" borderId="3" xfId="1" applyNumberFormat="1" applyFont="1" applyFill="1" applyBorder="1" applyAlignment="1">
      <alignment horizontal="center" vertical="center"/>
    </xf>
    <xf numFmtId="10" fontId="5" fillId="0" borderId="3" xfId="2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10" fontId="5" fillId="0" borderId="4" xfId="2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4" fontId="5" fillId="11" borderId="3" xfId="1" applyNumberFormat="1" applyFont="1" applyFill="1" applyBorder="1" applyAlignment="1">
      <alignment horizontal="center" vertical="center"/>
    </xf>
    <xf numFmtId="10" fontId="5" fillId="11" borderId="4" xfId="2" applyNumberFormat="1" applyFont="1" applyFill="1" applyBorder="1" applyAlignment="1">
      <alignment horizontal="center" vertical="center"/>
    </xf>
    <xf numFmtId="14" fontId="26" fillId="0" borderId="0" xfId="1" applyNumberFormat="1" applyFont="1" applyFill="1" applyBorder="1" applyAlignment="1">
      <alignment vertical="center" wrapText="1"/>
    </xf>
    <xf numFmtId="10" fontId="5" fillId="11" borderId="0" xfId="1" applyNumberFormat="1" applyFont="1" applyFill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/>
    <xf numFmtId="0" fontId="5" fillId="0" borderId="0" xfId="1" applyFont="1" applyFill="1" applyAlignment="1">
      <alignment horizontal="left"/>
    </xf>
    <xf numFmtId="0" fontId="5" fillId="0" borderId="6" xfId="1" applyFont="1" applyFill="1" applyBorder="1"/>
    <xf numFmtId="0" fontId="5" fillId="0" borderId="6" xfId="1" applyFont="1" applyFill="1" applyBorder="1" applyAlignment="1">
      <alignment horizontal="left"/>
    </xf>
    <xf numFmtId="0" fontId="5" fillId="0" borderId="6" xfId="1" applyNumberFormat="1" applyFont="1" applyFill="1" applyBorder="1" applyAlignment="1">
      <alignment horizontal="left"/>
    </xf>
    <xf numFmtId="0" fontId="5" fillId="0" borderId="6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/>
    </xf>
    <xf numFmtId="9" fontId="5" fillId="0" borderId="0" xfId="2" applyFont="1" applyFill="1"/>
    <xf numFmtId="10" fontId="5" fillId="0" borderId="0" xfId="2" applyNumberFormat="1" applyFont="1" applyFill="1"/>
    <xf numFmtId="9" fontId="5" fillId="0" borderId="0" xfId="1" applyNumberFormat="1" applyFont="1" applyFill="1"/>
    <xf numFmtId="0" fontId="5" fillId="0" borderId="0" xfId="1" applyNumberFormat="1" applyFont="1" applyFill="1"/>
    <xf numFmtId="0" fontId="5" fillId="0" borderId="0" xfId="1" applyNumberFormat="1" applyFont="1" applyFill="1" applyAlignment="1">
      <alignment horizontal="left"/>
    </xf>
    <xf numFmtId="49" fontId="5" fillId="12" borderId="6" xfId="1" applyNumberFormat="1" applyFont="1" applyFill="1" applyBorder="1" applyAlignment="1">
      <alignment horizontal="left"/>
    </xf>
    <xf numFmtId="49" fontId="5" fillId="14" borderId="6" xfId="1" applyNumberFormat="1" applyFont="1" applyFill="1" applyBorder="1" applyAlignment="1">
      <alignment horizontal="left"/>
    </xf>
    <xf numFmtId="49" fontId="5" fillId="15" borderId="6" xfId="1" applyNumberFormat="1" applyFont="1" applyFill="1" applyBorder="1" applyAlignment="1">
      <alignment horizontal="left"/>
    </xf>
    <xf numFmtId="49" fontId="5" fillId="15" borderId="6" xfId="1" applyNumberFormat="1" applyFont="1" applyFill="1" applyBorder="1"/>
    <xf numFmtId="49" fontId="5" fillId="16" borderId="6" xfId="1" applyNumberFormat="1" applyFont="1" applyFill="1" applyBorder="1" applyAlignment="1">
      <alignment horizontal="left"/>
    </xf>
    <xf numFmtId="0" fontId="5" fillId="0" borderId="0" xfId="1" applyFont="1" applyFill="1" applyAlignment="1">
      <alignment horizontal="center"/>
    </xf>
    <xf numFmtId="167" fontId="5" fillId="0" borderId="0" xfId="2" applyNumberFormat="1" applyFont="1" applyFill="1"/>
    <xf numFmtId="171" fontId="5" fillId="0" borderId="0" xfId="2" applyNumberFormat="1" applyFont="1" applyFill="1"/>
    <xf numFmtId="4" fontId="10" fillId="0" borderId="0" xfId="0" applyNumberFormat="1" applyFont="1" applyFill="1" applyBorder="1" applyAlignment="1" applyProtection="1">
      <alignment horizontal="right" vertical="center" wrapText="1"/>
      <protection hidden="1"/>
    </xf>
    <xf numFmtId="3" fontId="12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49" fontId="5" fillId="17" borderId="6" xfId="1" applyNumberFormat="1" applyFont="1" applyFill="1" applyBorder="1" applyAlignment="1">
      <alignment horizontal="left"/>
    </xf>
    <xf numFmtId="10" fontId="5" fillId="15" borderId="6" xfId="2" applyNumberFormat="1" applyFont="1" applyFill="1" applyBorder="1" applyAlignment="1">
      <alignment horizontal="left"/>
    </xf>
    <xf numFmtId="10" fontId="5" fillId="12" borderId="6" xfId="2" applyNumberFormat="1" applyFont="1" applyFill="1" applyBorder="1" applyAlignment="1">
      <alignment horizontal="left"/>
    </xf>
    <xf numFmtId="10" fontId="5" fillId="17" borderId="6" xfId="2" applyNumberFormat="1" applyFont="1" applyFill="1" applyBorder="1" applyAlignment="1">
      <alignment horizontal="left"/>
    </xf>
    <xf numFmtId="10" fontId="5" fillId="14" borderId="6" xfId="2" applyNumberFormat="1" applyFont="1" applyFill="1" applyBorder="1" applyAlignment="1">
      <alignment horizontal="left"/>
    </xf>
    <xf numFmtId="10" fontId="5" fillId="16" borderId="6" xfId="2" applyNumberFormat="1" applyFont="1" applyFill="1" applyBorder="1" applyAlignment="1">
      <alignment horizontal="left"/>
    </xf>
    <xf numFmtId="10" fontId="5" fillId="15" borderId="6" xfId="2" applyNumberFormat="1" applyFont="1" applyFill="1" applyBorder="1"/>
    <xf numFmtId="0" fontId="11" fillId="0" borderId="0" xfId="0" applyFont="1" applyFill="1" applyBorder="1" applyAlignment="1" applyProtection="1">
      <alignment horizontal="center" vertical="top"/>
      <protection hidden="1"/>
    </xf>
    <xf numFmtId="14" fontId="18" fillId="0" borderId="10" xfId="0" applyNumberFormat="1" applyFont="1" applyFill="1" applyBorder="1" applyAlignment="1" applyProtection="1">
      <alignment horizontal="left"/>
      <protection hidden="1"/>
    </xf>
    <xf numFmtId="14" fontId="18" fillId="0" borderId="0" xfId="0" applyNumberFormat="1" applyFont="1" applyFill="1" applyBorder="1" applyAlignment="1" applyProtection="1">
      <alignment horizontal="left"/>
      <protection hidden="1"/>
    </xf>
    <xf numFmtId="0" fontId="18" fillId="0" borderId="0" xfId="0" applyNumberFormat="1" applyFont="1" applyFill="1" applyBorder="1" applyAlignment="1" applyProtection="1">
      <alignment horizontal="left"/>
      <protection hidden="1"/>
    </xf>
    <xf numFmtId="0" fontId="12" fillId="0" borderId="11" xfId="0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Fill="1" applyBorder="1" applyAlignment="1" applyProtection="1">
      <alignment vertical="top" wrapText="1"/>
      <protection hidden="1"/>
    </xf>
    <xf numFmtId="10" fontId="12" fillId="0" borderId="11" xfId="2" applyNumberFormat="1" applyFont="1" applyFill="1" applyBorder="1" applyProtection="1">
      <protection hidden="1"/>
    </xf>
    <xf numFmtId="9" fontId="10" fillId="0" borderId="11" xfId="0" applyNumberFormat="1" applyFont="1" applyFill="1" applyBorder="1" applyProtection="1">
      <protection hidden="1"/>
    </xf>
    <xf numFmtId="9" fontId="12" fillId="0" borderId="11" xfId="2" applyNumberFormat="1" applyFont="1" applyFill="1" applyBorder="1" applyProtection="1">
      <protection hidden="1"/>
    </xf>
    <xf numFmtId="165" fontId="12" fillId="0" borderId="11" xfId="2" applyNumberFormat="1" applyFont="1" applyFill="1" applyBorder="1" applyProtection="1">
      <protection hidden="1"/>
    </xf>
    <xf numFmtId="0" fontId="15" fillId="0" borderId="11" xfId="0" applyFont="1" applyFill="1" applyBorder="1" applyAlignment="1" applyProtection="1">
      <alignment horizontal="center" vertical="top" wrapText="1"/>
      <protection hidden="1"/>
    </xf>
    <xf numFmtId="0" fontId="12" fillId="0" borderId="11" xfId="0" applyNumberFormat="1" applyFont="1" applyFill="1" applyBorder="1" applyAlignment="1" applyProtection="1">
      <alignment horizontal="center" vertical="top" wrapText="1"/>
      <protection hidden="1"/>
    </xf>
    <xf numFmtId="0" fontId="12" fillId="0" borderId="0" xfId="0" applyFont="1" applyFill="1" applyBorder="1" applyAlignment="1" applyProtection="1">
      <alignment horizontal="center" vertical="top" wrapText="1"/>
      <protection hidden="1"/>
    </xf>
    <xf numFmtId="0" fontId="13" fillId="0" borderId="0" xfId="0" applyFont="1" applyBorder="1" applyProtection="1">
      <protection hidden="1"/>
    </xf>
    <xf numFmtId="0" fontId="13" fillId="0" borderId="0" xfId="0" applyFont="1" applyFill="1" applyBorder="1" applyProtection="1">
      <protection hidden="1"/>
    </xf>
    <xf numFmtId="0" fontId="11" fillId="0" borderId="0" xfId="0" applyFont="1" applyBorder="1" applyProtection="1">
      <protection hidden="1"/>
    </xf>
    <xf numFmtId="0" fontId="8" fillId="2" borderId="6" xfId="0" applyFont="1" applyFill="1" applyBorder="1" applyAlignment="1" applyProtection="1">
      <alignment horizontal="center" vertical="center" wrapText="1"/>
      <protection hidden="1"/>
    </xf>
    <xf numFmtId="0" fontId="8" fillId="2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2" borderId="6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8" fillId="3" borderId="6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8" fillId="0" borderId="7" xfId="0" applyFont="1" applyFill="1" applyBorder="1" applyAlignment="1" applyProtection="1">
      <alignment horizontal="center" vertical="center" wrapText="1"/>
      <protection hidden="1"/>
    </xf>
    <xf numFmtId="0" fontId="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vertical="center" wrapText="1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168" fontId="19" fillId="0" borderId="13" xfId="0" applyNumberFormat="1" applyFont="1" applyFill="1" applyBorder="1" applyAlignment="1" applyProtection="1">
      <alignment horizontal="left" vertical="center"/>
      <protection hidden="1"/>
    </xf>
    <xf numFmtId="168" fontId="18" fillId="0" borderId="13" xfId="0" applyNumberFormat="1" applyFont="1" applyFill="1" applyBorder="1" applyAlignment="1" applyProtection="1">
      <alignment horizontal="left" vertical="center"/>
      <protection hidden="1"/>
    </xf>
    <xf numFmtId="168" fontId="10" fillId="0" borderId="13" xfId="0" applyNumberFormat="1" applyFont="1" applyFill="1" applyBorder="1" applyAlignment="1" applyProtection="1">
      <alignment horizontal="center" vertical="center"/>
      <protection hidden="1"/>
    </xf>
    <xf numFmtId="168" fontId="24" fillId="0" borderId="13" xfId="0" applyNumberFormat="1" applyFont="1" applyFill="1" applyBorder="1" applyAlignment="1" applyProtection="1">
      <alignment horizontal="left" vertical="center"/>
      <protection hidden="1"/>
    </xf>
    <xf numFmtId="4" fontId="10" fillId="0" borderId="5" xfId="0" applyNumberFormat="1" applyFont="1" applyFill="1" applyBorder="1" applyAlignment="1" applyProtection="1">
      <alignment vertical="center" wrapText="1"/>
      <protection hidden="1"/>
    </xf>
    <xf numFmtId="4" fontId="10" fillId="0" borderId="5" xfId="0" applyNumberFormat="1" applyFont="1" applyFill="1" applyBorder="1" applyAlignment="1" applyProtection="1">
      <alignment horizontal="right" vertical="center"/>
      <protection hidden="1"/>
    </xf>
    <xf numFmtId="3" fontId="10" fillId="0" borderId="5" xfId="0" applyNumberFormat="1" applyFont="1" applyFill="1" applyBorder="1" applyAlignment="1" applyProtection="1">
      <alignment horizontal="right" vertical="center"/>
      <protection hidden="1"/>
    </xf>
    <xf numFmtId="3" fontId="10" fillId="5" borderId="5" xfId="0" applyNumberFormat="1" applyFont="1" applyFill="1" applyBorder="1" applyAlignment="1" applyProtection="1">
      <alignment horizontal="right" vertical="center"/>
      <protection hidden="1"/>
    </xf>
    <xf numFmtId="3" fontId="16" fillId="0" borderId="5" xfId="0" applyNumberFormat="1" applyFont="1" applyFill="1" applyBorder="1" applyAlignment="1" applyProtection="1">
      <alignment horizontal="right" vertical="center"/>
      <protection hidden="1"/>
    </xf>
    <xf numFmtId="14" fontId="11" fillId="0" borderId="5" xfId="0" applyNumberFormat="1" applyFont="1" applyFill="1" applyBorder="1" applyAlignment="1" applyProtection="1">
      <alignment horizontal="right" vertical="center"/>
      <protection hidden="1"/>
    </xf>
    <xf numFmtId="10" fontId="11" fillId="0" borderId="5" xfId="0" applyNumberFormat="1" applyFont="1" applyFill="1" applyBorder="1" applyAlignment="1" applyProtection="1">
      <alignment horizontal="right" vertical="center"/>
      <protection hidden="1"/>
    </xf>
    <xf numFmtId="10" fontId="11" fillId="0" borderId="5" xfId="2" applyNumberFormat="1" applyFont="1" applyFill="1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vertical="center"/>
      <protection hidden="1"/>
    </xf>
    <xf numFmtId="3" fontId="10" fillId="0" borderId="5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164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9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0" fontId="6" fillId="0" borderId="5" xfId="0" applyFont="1" applyFill="1" applyBorder="1" applyAlignment="1" applyProtection="1">
      <alignment horizontal="left" vertical="center" wrapText="1"/>
      <protection hidden="1"/>
    </xf>
    <xf numFmtId="0" fontId="11" fillId="0" borderId="5" xfId="0" applyNumberFormat="1" applyFont="1" applyFill="1" applyBorder="1" applyAlignment="1" applyProtection="1">
      <alignment horizontal="right" vertical="center"/>
      <protection hidden="1"/>
    </xf>
    <xf numFmtId="3" fontId="10" fillId="0" borderId="0" xfId="0" applyNumberFormat="1" applyFont="1" applyFill="1" applyBorder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Border="1" applyAlignment="1" applyProtection="1">
      <alignment horizontal="right" vertical="center"/>
      <protection hidden="1"/>
    </xf>
    <xf numFmtId="168" fontId="19" fillId="0" borderId="0" xfId="0" applyNumberFormat="1" applyFont="1" applyFill="1" applyBorder="1" applyAlignment="1" applyProtection="1">
      <alignment horizontal="left" vertical="center"/>
      <protection hidden="1"/>
    </xf>
    <xf numFmtId="0" fontId="19" fillId="0" borderId="0" xfId="0" applyNumberFormat="1" applyFont="1" applyFill="1" applyBorder="1" applyAlignment="1" applyProtection="1">
      <alignment horizontal="left" vertical="center"/>
      <protection hidden="1"/>
    </xf>
    <xf numFmtId="168" fontId="10" fillId="0" borderId="0" xfId="0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0" xfId="0" applyFont="1" applyFill="1" applyBorder="1" applyAlignment="1" applyProtection="1">
      <alignment vertical="center" wrapText="1"/>
      <protection hidden="1"/>
    </xf>
    <xf numFmtId="49" fontId="11" fillId="0" borderId="0" xfId="0" applyNumberFormat="1" applyFont="1" applyFill="1" applyBorder="1" applyAlignment="1" applyProtection="1">
      <alignment horizontal="left" vertical="center" wrapText="1"/>
      <protection hidden="1"/>
    </xf>
    <xf numFmtId="3" fontId="10" fillId="0" borderId="0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4" fontId="10" fillId="0" borderId="0" xfId="0" applyNumberFormat="1" applyFont="1" applyFill="1" applyBorder="1" applyAlignment="1" applyProtection="1">
      <alignment vertical="center"/>
      <protection hidden="1"/>
    </xf>
    <xf numFmtId="3" fontId="16" fillId="0" borderId="0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NumberFormat="1" applyFont="1" applyBorder="1" applyAlignment="1" applyProtection="1">
      <alignment vertical="center"/>
      <protection hidden="1"/>
    </xf>
    <xf numFmtId="14" fontId="11" fillId="0" borderId="0" xfId="0" applyNumberFormat="1" applyFont="1" applyFill="1" applyBorder="1" applyAlignment="1" applyProtection="1">
      <alignment horizontal="right" vertical="center"/>
      <protection hidden="1"/>
    </xf>
    <xf numFmtId="10" fontId="11" fillId="0" borderId="0" xfId="0" applyNumberFormat="1" applyFont="1" applyFill="1" applyBorder="1" applyAlignment="1" applyProtection="1">
      <alignment horizontal="right" vertical="center"/>
      <protection hidden="1"/>
    </xf>
    <xf numFmtId="4" fontId="10" fillId="0" borderId="0" xfId="0" applyNumberFormat="1" applyFont="1" applyFill="1" applyAlignment="1" applyProtection="1">
      <alignment vertical="center"/>
      <protection hidden="1"/>
    </xf>
    <xf numFmtId="3" fontId="10" fillId="0" borderId="0" xfId="0" applyNumberFormat="1" applyFont="1" applyFill="1" applyAlignment="1" applyProtection="1">
      <alignment vertical="center"/>
      <protection hidden="1"/>
    </xf>
    <xf numFmtId="167" fontId="10" fillId="0" borderId="0" xfId="2" applyNumberFormat="1" applyFont="1" applyFill="1" applyBorder="1" applyAlignment="1" applyProtection="1">
      <alignment horizontal="right" vertical="center"/>
      <protection hidden="1"/>
    </xf>
    <xf numFmtId="0" fontId="11" fillId="0" borderId="0" xfId="0" applyNumberFormat="1" applyFont="1" applyAlignment="1" applyProtection="1">
      <alignment vertical="center"/>
      <protection hidden="1"/>
    </xf>
    <xf numFmtId="3" fontId="13" fillId="0" borderId="0" xfId="0" applyNumberFormat="1" applyFont="1" applyAlignment="1" applyProtection="1">
      <alignment vertical="center"/>
      <protection hidden="1"/>
    </xf>
    <xf numFmtId="3" fontId="11" fillId="0" borderId="0" xfId="0" applyNumberFormat="1" applyFont="1" applyAlignment="1" applyProtection="1">
      <alignment vertical="center"/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12" fillId="0" borderId="0" xfId="0" applyFont="1" applyFill="1" applyBorder="1" applyAlignment="1" applyProtection="1">
      <alignment vertical="center"/>
      <protection hidden="1"/>
    </xf>
    <xf numFmtId="2" fontId="12" fillId="0" borderId="0" xfId="0" applyNumberFormat="1" applyFont="1" applyFill="1" applyBorder="1" applyAlignment="1" applyProtection="1">
      <alignment horizontal="right" vertical="center"/>
      <protection hidden="1"/>
    </xf>
    <xf numFmtId="10" fontId="11" fillId="0" borderId="0" xfId="0" applyNumberFormat="1" applyFont="1" applyBorder="1" applyAlignment="1" applyProtection="1">
      <alignment vertical="center"/>
      <protection hidden="1"/>
    </xf>
    <xf numFmtId="0" fontId="13" fillId="0" borderId="0" xfId="0" applyFont="1" applyProtection="1">
      <protection hidden="1"/>
    </xf>
    <xf numFmtId="0" fontId="10" fillId="0" borderId="0" xfId="0" applyFont="1" applyBorder="1" applyAlignment="1" applyProtection="1">
      <alignment vertical="center"/>
      <protection hidden="1"/>
    </xf>
    <xf numFmtId="9" fontId="10" fillId="0" borderId="0" xfId="0" applyNumberFormat="1" applyFont="1" applyBorder="1" applyAlignment="1" applyProtection="1">
      <alignment vertical="center"/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3" fontId="12" fillId="0" borderId="0" xfId="0" applyNumberFormat="1" applyFont="1" applyFill="1" applyBorder="1" applyAlignment="1" applyProtection="1">
      <alignment horizontal="right" vertical="center"/>
      <protection hidden="1"/>
    </xf>
    <xf numFmtId="3" fontId="12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11" fillId="0" borderId="0" xfId="0" applyFont="1" applyBorder="1" applyAlignment="1" applyProtection="1">
      <protection hidden="1"/>
    </xf>
    <xf numFmtId="0" fontId="10" fillId="0" borderId="0" xfId="0" applyFont="1" applyBorder="1" applyProtection="1">
      <protection hidden="1"/>
    </xf>
    <xf numFmtId="9" fontId="10" fillId="0" borderId="0" xfId="0" applyNumberFormat="1" applyFont="1" applyBorder="1" applyProtection="1">
      <protection hidden="1"/>
    </xf>
    <xf numFmtId="3" fontId="8" fillId="0" borderId="0" xfId="0" applyNumberFormat="1" applyFont="1" applyBorder="1" applyProtection="1">
      <protection hidden="1"/>
    </xf>
    <xf numFmtId="0" fontId="11" fillId="0" borderId="0" xfId="0" applyNumberFormat="1" applyFont="1" applyBorder="1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9" fontId="10" fillId="0" borderId="0" xfId="0" applyNumberFormat="1" applyFont="1" applyAlignment="1" applyProtection="1">
      <alignment vertical="center"/>
      <protection hidden="1"/>
    </xf>
    <xf numFmtId="0" fontId="10" fillId="0" borderId="0" xfId="0" applyFont="1" applyProtection="1">
      <protection hidden="1"/>
    </xf>
    <xf numFmtId="3" fontId="8" fillId="0" borderId="0" xfId="0" applyNumberFormat="1" applyFont="1" applyProtection="1">
      <protection hidden="1"/>
    </xf>
    <xf numFmtId="0" fontId="11" fillId="0" borderId="0" xfId="0" applyNumberFormat="1" applyFont="1" applyProtection="1">
      <protection hidden="1"/>
    </xf>
    <xf numFmtId="3" fontId="11" fillId="0" borderId="0" xfId="0" applyNumberFormat="1" applyFont="1" applyFill="1" applyAlignment="1" applyProtection="1">
      <alignment vertical="center"/>
      <protection hidden="1"/>
    </xf>
    <xf numFmtId="1" fontId="13" fillId="0" borderId="0" xfId="0" applyNumberFormat="1" applyFont="1" applyProtection="1">
      <protection hidden="1"/>
    </xf>
    <xf numFmtId="1" fontId="13" fillId="0" borderId="0" xfId="0" applyNumberFormat="1" applyFont="1" applyFill="1" applyProtection="1">
      <protection hidden="1"/>
    </xf>
    <xf numFmtId="0" fontId="11" fillId="0" borderId="0" xfId="0" applyFont="1" applyAlignment="1" applyProtection="1">
      <protection hidden="1"/>
    </xf>
    <xf numFmtId="0" fontId="11" fillId="0" borderId="0" xfId="0" applyFont="1" applyAlignment="1" applyProtection="1">
      <alignment horizontal="left" vertical="justify"/>
      <protection hidden="1"/>
    </xf>
    <xf numFmtId="9" fontId="10" fillId="0" borderId="0" xfId="0" applyNumberFormat="1" applyFont="1" applyProtection="1">
      <protection hidden="1"/>
    </xf>
    <xf numFmtId="3" fontId="11" fillId="0" borderId="0" xfId="0" applyNumberFormat="1" applyFont="1" applyFill="1" applyProtection="1">
      <protection hidden="1"/>
    </xf>
    <xf numFmtId="0" fontId="13" fillId="0" borderId="0" xfId="0" applyFont="1" applyFill="1" applyProtection="1">
      <protection hidden="1"/>
    </xf>
    <xf numFmtId="3" fontId="11" fillId="0" borderId="0" xfId="0" applyNumberFormat="1" applyFont="1" applyProtection="1">
      <protection hidden="1"/>
    </xf>
    <xf numFmtId="0" fontId="11" fillId="10" borderId="0" xfId="0" applyFont="1" applyFill="1" applyAlignment="1" applyProtection="1">
      <alignment horizontal="left" vertical="justify"/>
      <protection hidden="1"/>
    </xf>
    <xf numFmtId="168" fontId="19" fillId="11" borderId="13" xfId="0" applyNumberFormat="1" applyFont="1" applyFill="1" applyBorder="1" applyAlignment="1" applyProtection="1">
      <alignment horizontal="left" vertical="center"/>
      <protection locked="0"/>
    </xf>
    <xf numFmtId="168" fontId="19" fillId="0" borderId="13" xfId="0" applyNumberFormat="1" applyFont="1" applyFill="1" applyBorder="1" applyAlignment="1" applyProtection="1">
      <alignment horizontal="left" vertical="center"/>
      <protection locked="0"/>
    </xf>
    <xf numFmtId="168" fontId="18" fillId="0" borderId="13" xfId="0" applyNumberFormat="1" applyFont="1" applyFill="1" applyBorder="1" applyAlignment="1" applyProtection="1">
      <alignment horizontal="left" vertical="center"/>
      <protection locked="0"/>
    </xf>
    <xf numFmtId="164" fontId="10" fillId="5" borderId="13" xfId="0" applyNumberFormat="1" applyFont="1" applyFill="1" applyBorder="1" applyAlignment="1" applyProtection="1">
      <alignment horizontal="right" vertical="center" wrapText="1"/>
      <protection locked="0"/>
    </xf>
    <xf numFmtId="9" fontId="10" fillId="5" borderId="13" xfId="0" applyNumberFormat="1" applyFont="1" applyFill="1" applyBorder="1" applyAlignment="1" applyProtection="1">
      <alignment horizontal="right" vertical="center" wrapText="1"/>
      <protection locked="0"/>
    </xf>
    <xf numFmtId="168" fontId="10" fillId="0" borderId="13" xfId="0" applyNumberFormat="1" applyFont="1" applyFill="1" applyBorder="1" applyAlignment="1" applyProtection="1">
      <alignment horizontal="center" vertical="center"/>
      <protection locked="0"/>
    </xf>
    <xf numFmtId="168" fontId="24" fillId="0" borderId="13" xfId="0" applyNumberFormat="1" applyFont="1" applyFill="1" applyBorder="1" applyAlignment="1" applyProtection="1">
      <alignment horizontal="left" vertical="center"/>
      <protection locked="0"/>
    </xf>
    <xf numFmtId="0" fontId="6" fillId="5" borderId="5" xfId="0" applyFont="1" applyFill="1" applyBorder="1" applyAlignment="1" applyProtection="1">
      <alignment horizontal="left" vertical="center" wrapText="1"/>
      <protection locked="0"/>
    </xf>
    <xf numFmtId="168" fontId="19" fillId="13" borderId="13" xfId="0" applyNumberFormat="1" applyFont="1" applyFill="1" applyBorder="1" applyAlignment="1" applyProtection="1">
      <alignment horizontal="left" vertical="center"/>
      <protection locked="0"/>
    </xf>
    <xf numFmtId="49" fontId="11" fillId="11" borderId="5" xfId="0" applyNumberFormat="1" applyFont="1" applyFill="1" applyBorder="1" applyAlignment="1" applyProtection="1">
      <alignment horizontal="left" vertical="center" wrapText="1"/>
      <protection locked="0"/>
    </xf>
    <xf numFmtId="3" fontId="10" fillId="6" borderId="5" xfId="0" applyNumberFormat="1" applyFont="1" applyFill="1" applyBorder="1" applyAlignment="1" applyProtection="1">
      <alignment horizontal="right" vertical="center"/>
      <protection locked="0"/>
    </xf>
    <xf numFmtId="49" fontId="11" fillId="5" borderId="5" xfId="0" applyNumberFormat="1" applyFont="1" applyFill="1" applyBorder="1" applyAlignment="1" applyProtection="1">
      <alignment horizontal="left" vertical="center" wrapText="1"/>
      <protection locked="0"/>
    </xf>
    <xf numFmtId="3" fontId="10" fillId="11" borderId="5" xfId="0" applyNumberFormat="1" applyFont="1" applyFill="1" applyBorder="1" applyAlignment="1" applyProtection="1">
      <alignment horizontal="right" vertical="center"/>
      <protection locked="0"/>
    </xf>
    <xf numFmtId="3" fontId="10" fillId="5" borderId="5" xfId="0" applyNumberFormat="1" applyFont="1" applyFill="1" applyBorder="1" applyAlignment="1" applyProtection="1">
      <alignment horizontal="right" vertical="center"/>
      <protection locked="0"/>
    </xf>
    <xf numFmtId="0" fontId="11" fillId="5" borderId="5" xfId="0" applyNumberFormat="1" applyFont="1" applyFill="1" applyBorder="1" applyAlignment="1" applyProtection="1">
      <alignment horizontal="right" vertical="center"/>
      <protection locked="0"/>
    </xf>
    <xf numFmtId="3" fontId="10" fillId="5" borderId="5" xfId="0" applyNumberFormat="1" applyFont="1" applyFill="1" applyBorder="1" applyAlignment="1" applyProtection="1">
      <alignment vertical="center"/>
      <protection locked="0"/>
    </xf>
    <xf numFmtId="10" fontId="11" fillId="5" borderId="5" xfId="0" applyNumberFormat="1" applyFont="1" applyFill="1" applyBorder="1" applyAlignment="1" applyProtection="1">
      <alignment vertical="center"/>
      <protection locked="0"/>
    </xf>
    <xf numFmtId="3" fontId="11" fillId="0" borderId="5" xfId="0" applyNumberFormat="1" applyFont="1" applyBorder="1" applyAlignment="1" applyProtection="1">
      <alignment vertical="center"/>
      <protection locked="0"/>
    </xf>
    <xf numFmtId="4" fontId="11" fillId="7" borderId="5" xfId="0" applyNumberFormat="1" applyFont="1" applyFill="1" applyBorder="1" applyAlignment="1" applyProtection="1">
      <alignment vertical="center"/>
    </xf>
    <xf numFmtId="3" fontId="11" fillId="0" borderId="5" xfId="0" applyNumberFormat="1" applyFont="1" applyBorder="1" applyAlignment="1" applyProtection="1">
      <alignment vertical="center"/>
    </xf>
    <xf numFmtId="0" fontId="20" fillId="0" borderId="0" xfId="0" applyFont="1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33" fillId="0" borderId="0" xfId="0" applyFont="1" applyAlignment="1" applyProtection="1">
      <alignment horizontal="right" vertical="center"/>
      <protection hidden="1"/>
    </xf>
    <xf numFmtId="0" fontId="33" fillId="0" borderId="0" xfId="0" applyFont="1" applyProtection="1">
      <protection hidden="1"/>
    </xf>
    <xf numFmtId="0" fontId="14" fillId="0" borderId="0" xfId="0" applyFont="1" applyProtection="1">
      <protection hidden="1"/>
    </xf>
    <xf numFmtId="0" fontId="14" fillId="0" borderId="0" xfId="0" applyFont="1" applyFill="1" applyProtection="1">
      <protection hidden="1"/>
    </xf>
    <xf numFmtId="49" fontId="14" fillId="0" borderId="0" xfId="0" applyNumberFormat="1" applyFont="1" applyFill="1" applyAlignment="1" applyProtection="1">
      <alignment wrapText="1"/>
      <protection hidden="1"/>
    </xf>
    <xf numFmtId="0" fontId="10" fillId="0" borderId="0" xfId="0" applyFont="1" applyAlignment="1" applyProtection="1">
      <alignment horizontal="left" vertical="top"/>
      <protection hidden="1"/>
    </xf>
    <xf numFmtId="0" fontId="21" fillId="0" borderId="0" xfId="0" applyFont="1" applyAlignment="1" applyProtection="1">
      <alignment vertic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horizontal="left"/>
      <protection hidden="1"/>
    </xf>
    <xf numFmtId="0" fontId="14" fillId="0" borderId="6" xfId="0" applyFont="1" applyFill="1" applyBorder="1" applyAlignment="1" applyProtection="1">
      <alignment horizontal="center" vertical="center"/>
      <protection hidden="1"/>
    </xf>
    <xf numFmtId="0" fontId="29" fillId="0" borderId="0" xfId="0" applyFont="1" applyFill="1" applyAlignment="1" applyProtection="1">
      <alignment vertical="center" wrapText="1"/>
      <protection hidden="1"/>
    </xf>
    <xf numFmtId="0" fontId="35" fillId="0" borderId="0" xfId="0" applyFont="1" applyAlignment="1" applyProtection="1">
      <alignment horizontal="left" vertical="center" wrapText="1"/>
      <protection hidden="1"/>
    </xf>
    <xf numFmtId="0" fontId="30" fillId="0" borderId="0" xfId="0" applyFont="1" applyAlignment="1" applyProtection="1">
      <alignment horizontal="left"/>
      <protection hidden="1"/>
    </xf>
    <xf numFmtId="0" fontId="31" fillId="0" borderId="0" xfId="0" applyFont="1" applyProtection="1">
      <protection hidden="1"/>
    </xf>
    <xf numFmtId="0" fontId="31" fillId="0" borderId="0" xfId="0" applyFont="1" applyFill="1" applyProtection="1">
      <protection hidden="1"/>
    </xf>
    <xf numFmtId="0" fontId="32" fillId="0" borderId="0" xfId="0" applyFont="1" applyFill="1" applyAlignment="1" applyProtection="1">
      <alignment vertical="center" wrapText="1"/>
      <protection hidden="1"/>
    </xf>
    <xf numFmtId="14" fontId="33" fillId="0" borderId="0" xfId="0" applyNumberFormat="1" applyFont="1" applyAlignment="1" applyProtection="1">
      <alignment horizontal="left" vertical="center"/>
      <protection hidden="1"/>
    </xf>
    <xf numFmtId="0" fontId="22" fillId="0" borderId="0" xfId="0" applyFont="1" applyAlignment="1" applyProtection="1">
      <alignment horizontal="left" vertical="center" wrapText="1"/>
      <protection hidden="1"/>
    </xf>
    <xf numFmtId="0" fontId="14" fillId="0" borderId="6" xfId="0" applyFont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14" fillId="0" borderId="0" xfId="0" applyFont="1" applyAlignment="1" applyProtection="1">
      <alignment horizontal="left"/>
      <protection hidden="1"/>
    </xf>
    <xf numFmtId="0" fontId="37" fillId="0" borderId="0" xfId="0" applyFont="1" applyFill="1" applyAlignment="1" applyProtection="1">
      <alignment vertical="center" wrapText="1"/>
      <protection hidden="1"/>
    </xf>
    <xf numFmtId="0" fontId="40" fillId="0" borderId="0" xfId="0" applyFont="1" applyAlignment="1" applyProtection="1">
      <alignment horizontal="left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0" fontId="33" fillId="0" borderId="0" xfId="0" applyFont="1" applyAlignment="1" applyProtection="1">
      <alignment horizontal="left" vertical="center"/>
      <protection hidden="1"/>
    </xf>
    <xf numFmtId="0" fontId="22" fillId="0" borderId="6" xfId="0" applyFont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 applyProtection="1">
      <alignment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33" fillId="0" borderId="6" xfId="0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 applyProtection="1">
      <alignment horizontal="justify" vertical="center" wrapText="1"/>
      <protection hidden="1"/>
    </xf>
    <xf numFmtId="3" fontId="34" fillId="0" borderId="0" xfId="0" applyNumberFormat="1" applyFont="1" applyProtection="1">
      <protection hidden="1"/>
    </xf>
    <xf numFmtId="0" fontId="22" fillId="0" borderId="6" xfId="0" applyFont="1" applyBorder="1" applyAlignment="1" applyProtection="1">
      <alignment horizontal="center" wrapText="1"/>
      <protection hidden="1"/>
    </xf>
    <xf numFmtId="3" fontId="13" fillId="0" borderId="0" xfId="0" applyNumberFormat="1" applyFont="1" applyProtection="1">
      <protection hidden="1"/>
    </xf>
    <xf numFmtId="3" fontId="33" fillId="0" borderId="6" xfId="0" applyNumberFormat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 applyProtection="1">
      <alignment horizontal="left" vertical="center" wrapText="1"/>
      <protection hidden="1"/>
    </xf>
    <xf numFmtId="10" fontId="13" fillId="0" borderId="0" xfId="0" applyNumberFormat="1" applyFont="1" applyFill="1" applyProtection="1">
      <protection hidden="1"/>
    </xf>
    <xf numFmtId="169" fontId="27" fillId="0" borderId="0" xfId="0" applyNumberFormat="1" applyFont="1" applyFill="1" applyProtection="1">
      <protection hidden="1"/>
    </xf>
    <xf numFmtId="3" fontId="23" fillId="0" borderId="0" xfId="0" applyNumberFormat="1" applyFont="1" applyFill="1" applyBorder="1" applyProtection="1">
      <protection hidden="1"/>
    </xf>
    <xf numFmtId="0" fontId="33" fillId="0" borderId="0" xfId="0" applyFont="1" applyBorder="1" applyAlignment="1" applyProtection="1">
      <alignment horizontal="justify" vertical="top" wrapText="1"/>
      <protection hidden="1"/>
    </xf>
    <xf numFmtId="3" fontId="33" fillId="0" borderId="0" xfId="0" applyNumberFormat="1" applyFont="1" applyBorder="1" applyAlignment="1" applyProtection="1">
      <alignment horizontal="justify" vertical="top" wrapText="1"/>
      <protection hidden="1"/>
    </xf>
    <xf numFmtId="0" fontId="33" fillId="0" borderId="0" xfId="0" applyFont="1" applyAlignment="1" applyProtection="1">
      <alignment horizontal="left" wrapText="1"/>
      <protection hidden="1"/>
    </xf>
    <xf numFmtId="0" fontId="33" fillId="0" borderId="0" xfId="0" applyNumberFormat="1" applyFont="1" applyAlignment="1" applyProtection="1">
      <alignment horizontal="right"/>
      <protection hidden="1"/>
    </xf>
    <xf numFmtId="0" fontId="7" fillId="0" borderId="0" xfId="0" applyFont="1" applyAlignment="1" applyProtection="1">
      <alignment horizontal="right"/>
      <protection hidden="1"/>
    </xf>
    <xf numFmtId="0" fontId="14" fillId="0" borderId="0" xfId="0" applyFont="1" applyFill="1" applyAlignment="1" applyProtection="1">
      <alignment wrapText="1"/>
      <protection hidden="1"/>
    </xf>
    <xf numFmtId="0" fontId="13" fillId="0" borderId="0" xfId="0" applyFont="1" applyAlignment="1" applyProtection="1">
      <alignment wrapText="1"/>
      <protection hidden="1"/>
    </xf>
    <xf numFmtId="0" fontId="40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horizontal="right"/>
      <protection hidden="1"/>
    </xf>
    <xf numFmtId="0" fontId="30" fillId="0" borderId="0" xfId="0" applyFont="1" applyAlignment="1" applyProtection="1">
      <alignment horizontal="right"/>
      <protection hidden="1"/>
    </xf>
    <xf numFmtId="0" fontId="31" fillId="0" borderId="0" xfId="0" applyFont="1" applyFill="1" applyAlignment="1" applyProtection="1">
      <alignment wrapText="1"/>
      <protection hidden="1"/>
    </xf>
    <xf numFmtId="0" fontId="30" fillId="0" borderId="0" xfId="0" applyFont="1" applyAlignment="1" applyProtection="1">
      <alignment wrapText="1"/>
      <protection hidden="1"/>
    </xf>
    <xf numFmtId="0" fontId="31" fillId="0" borderId="0" xfId="0" applyFont="1" applyAlignment="1" applyProtection="1">
      <alignment wrapText="1"/>
      <protection hidden="1"/>
    </xf>
    <xf numFmtId="0" fontId="14" fillId="0" borderId="0" xfId="0" applyFont="1" applyAlignment="1" applyProtection="1">
      <alignment horizontal="justify"/>
      <protection hidden="1"/>
    </xf>
    <xf numFmtId="0" fontId="22" fillId="0" borderId="0" xfId="0" applyFont="1" applyFill="1" applyAlignment="1" applyProtection="1">
      <alignment vertical="center" wrapText="1"/>
      <protection hidden="1"/>
    </xf>
    <xf numFmtId="0" fontId="31" fillId="0" borderId="0" xfId="0" applyFont="1" applyAlignment="1" applyProtection="1">
      <alignment vertical="center"/>
      <protection hidden="1"/>
    </xf>
    <xf numFmtId="0" fontId="33" fillId="0" borderId="6" xfId="2" applyNumberFormat="1" applyFont="1" applyBorder="1" applyAlignment="1" applyProtection="1">
      <alignment horizontal="center" vertical="center" wrapText="1"/>
      <protection hidden="1"/>
    </xf>
    <xf numFmtId="14" fontId="10" fillId="0" borderId="13" xfId="0" applyNumberFormat="1" applyFont="1" applyFill="1" applyBorder="1" applyAlignment="1" applyProtection="1">
      <alignment horizontal="right" vertical="center" wrapText="1"/>
      <protection hidden="1"/>
    </xf>
    <xf numFmtId="9" fontId="12" fillId="0" borderId="11" xfId="2" applyNumberFormat="1" applyFont="1" applyFill="1" applyBorder="1" applyProtection="1">
      <protection locked="0"/>
    </xf>
    <xf numFmtId="3" fontId="42" fillId="0" borderId="0" xfId="0" applyNumberFormat="1" applyFont="1"/>
    <xf numFmtId="3" fontId="43" fillId="0" borderId="0" xfId="0" applyNumberFormat="1" applyFont="1"/>
    <xf numFmtId="0" fontId="42" fillId="0" borderId="0" xfId="0" applyFont="1" applyAlignment="1">
      <alignment horizontal="center" vertical="center"/>
    </xf>
    <xf numFmtId="3" fontId="4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17" fillId="0" borderId="14" xfId="0" applyFont="1" applyBorder="1" applyAlignment="1" applyProtection="1">
      <alignment horizontal="center"/>
      <protection hidden="1"/>
    </xf>
    <xf numFmtId="49" fontId="33" fillId="0" borderId="0" xfId="0" applyNumberFormat="1" applyFont="1" applyAlignment="1" applyProtection="1">
      <alignment horizontal="right" vertical="center" wrapText="1"/>
      <protection hidden="1"/>
    </xf>
    <xf numFmtId="0" fontId="33" fillId="0" borderId="0" xfId="0" applyFont="1" applyAlignment="1" applyProtection="1">
      <alignment horizontal="right" vertical="center" wrapText="1"/>
      <protection hidden="1"/>
    </xf>
    <xf numFmtId="49" fontId="33" fillId="0" borderId="0" xfId="0" applyNumberFormat="1" applyFont="1" applyAlignment="1" applyProtection="1">
      <alignment horizontal="left" wrapText="1"/>
      <protection hidden="1"/>
    </xf>
    <xf numFmtId="0" fontId="33" fillId="0" borderId="0" xfId="0" applyNumberFormat="1" applyFont="1" applyAlignment="1" applyProtection="1">
      <alignment horizontal="left" wrapText="1"/>
      <protection hidden="1"/>
    </xf>
    <xf numFmtId="170" fontId="33" fillId="0" borderId="0" xfId="0" applyNumberFormat="1" applyFont="1" applyAlignment="1" applyProtection="1">
      <alignment horizontal="left"/>
      <protection hidden="1"/>
    </xf>
    <xf numFmtId="3" fontId="33" fillId="0" borderId="8" xfId="0" applyNumberFormat="1" applyFont="1" applyBorder="1" applyAlignment="1" applyProtection="1">
      <alignment horizontal="center" vertical="center" wrapText="1"/>
      <protection hidden="1"/>
    </xf>
    <xf numFmtId="3" fontId="33" fillId="0" borderId="9" xfId="0" applyNumberFormat="1" applyFont="1" applyBorder="1" applyAlignment="1" applyProtection="1">
      <alignment horizontal="center" vertical="center" wrapText="1"/>
      <protection hidden="1"/>
    </xf>
    <xf numFmtId="0" fontId="22" fillId="0" borderId="6" xfId="0" applyFont="1" applyFill="1" applyBorder="1" applyAlignment="1" applyProtection="1">
      <alignment horizontal="center" vertical="top" wrapText="1"/>
      <protection hidden="1"/>
    </xf>
    <xf numFmtId="0" fontId="22" fillId="0" borderId="0" xfId="0" applyFont="1" applyAlignment="1" applyProtection="1">
      <alignment horizontal="right" vertical="center"/>
      <protection hidden="1"/>
    </xf>
    <xf numFmtId="0" fontId="33" fillId="0" borderId="0" xfId="0" applyFont="1" applyAlignment="1" applyProtection="1">
      <alignment horizontal="left" vertical="center" wrapText="1"/>
      <protection hidden="1"/>
    </xf>
    <xf numFmtId="0" fontId="22" fillId="0" borderId="6" xfId="0" applyFont="1" applyFill="1" applyBorder="1" applyAlignment="1" applyProtection="1">
      <alignment horizontal="center" wrapText="1"/>
      <protection hidden="1"/>
    </xf>
    <xf numFmtId="0" fontId="22" fillId="0" borderId="8" xfId="0" applyFont="1" applyBorder="1" applyAlignment="1" applyProtection="1">
      <alignment horizontal="center" vertical="center" wrapText="1"/>
      <protection hidden="1"/>
    </xf>
    <xf numFmtId="0" fontId="22" fillId="0" borderId="9" xfId="0" applyFont="1" applyBorder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14" fontId="4" fillId="0" borderId="0" xfId="1" applyNumberFormat="1" applyFont="1" applyFill="1" applyBorder="1" applyAlignment="1">
      <alignment horizontal="center" wrapText="1"/>
    </xf>
    <xf numFmtId="14" fontId="26" fillId="0" borderId="0" xfId="1" applyNumberFormat="1" applyFont="1" applyFill="1" applyBorder="1" applyAlignment="1">
      <alignment horizontal="center" wrapText="1"/>
    </xf>
    <xf numFmtId="14" fontId="2" fillId="0" borderId="14" xfId="1" applyNumberFormat="1" applyFont="1" applyFill="1" applyBorder="1" applyAlignment="1">
      <alignment horizontal="center" vertical="center"/>
    </xf>
    <xf numFmtId="14" fontId="26" fillId="0" borderId="0" xfId="1" applyNumberFormat="1" applyFont="1" applyFill="1" applyBorder="1" applyAlignment="1">
      <alignment horizontal="center" vertical="center" wrapText="1"/>
    </xf>
    <xf numFmtId="0" fontId="4" fillId="11" borderId="15" xfId="1" applyFont="1" applyFill="1" applyBorder="1" applyAlignment="1" applyProtection="1">
      <alignment horizontal="center" vertical="center"/>
      <protection hidden="1"/>
    </xf>
    <xf numFmtId="0" fontId="4" fillId="11" borderId="0" xfId="1" applyFont="1" applyFill="1" applyBorder="1" applyAlignment="1" applyProtection="1">
      <alignment horizontal="center" vertical="center"/>
      <protection hidden="1"/>
    </xf>
    <xf numFmtId="49" fontId="42" fillId="0" borderId="0" xfId="0" applyNumberFormat="1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Расчет инфляции" xfId="1"/>
    <cellStyle name="Процентный" xfId="2" builtinId="5"/>
  </cellStyles>
  <dxfs count="266"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0070C0"/>
      </font>
      <fill>
        <patternFill>
          <bgColor rgb="FFFF0000"/>
        </patternFill>
      </fill>
      <border>
        <left style="dashDot">
          <color auto="1"/>
        </left>
        <right style="dashDot">
          <color auto="1"/>
        </right>
        <top style="dashDot">
          <color auto="1"/>
        </top>
        <bottom style="dashDot">
          <color auto="1"/>
        </bottom>
        <vertical/>
        <horizontal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  <fill>
        <patternFill>
          <bgColor indexed="45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indexed="34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31"/>
        </patternFill>
      </fill>
    </dxf>
    <dxf>
      <font>
        <b val="0"/>
        <i val="0"/>
        <condense val="0"/>
        <extend val="0"/>
        <color auto="1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9999"/>
      <color rgb="FF99FF66"/>
      <color rgb="FFFFFF66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\Obmen\&#1062;&#1077;&#1085;&#1072;%20&#1047;&#1072;&#1082;&#1072;&#1079;&#1095;&#1080;&#1082;&#1072;\&#1056;&#1072;&#1089;&#1095;&#1077;&#1090;%20&#1094;&#1077;&#1085;&#1099;%20%20&#1047;&#1072;&#1082;&#1072;&#1079;&#1095;&#1080;&#1082;&#1072;%20&#1087;&#1086;%20&#1050;&#1072;&#1083;&#1080;&#1085;&#1080;&#1085;&#1089;&#1082;&#1086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кты"/>
      <sheetName val="Цена Заказчика"/>
      <sheetName val="Ресурсы"/>
      <sheetName val="Лимитированные затраты"/>
      <sheetName val="Оплата труда"/>
      <sheetName val="Инфляция"/>
      <sheetName val="Лист17"/>
      <sheetName val="Лист16"/>
      <sheetName val="Лист15"/>
      <sheetName val="Лист14"/>
      <sheetName val="Лист13"/>
      <sheetName val="Лист12"/>
      <sheetName val="Лист10"/>
      <sheetName val="Лист9"/>
      <sheetName val="Лист8"/>
      <sheetName val="Лист7"/>
      <sheetName val="Лист6"/>
      <sheetName val="Лист5"/>
      <sheetName val="Лист3"/>
    </sheetNames>
    <sheetDataSet>
      <sheetData sheetId="0" refreshError="1">
        <row r="3">
          <cell r="A3">
            <v>1</v>
          </cell>
          <cell r="C3" t="str">
            <v>Абинский</v>
          </cell>
          <cell r="D3" t="str">
            <v>Федоровская-Холмский км 19+800-28+700</v>
          </cell>
          <cell r="F3" t="str">
            <v>Поверхностная обработка (II вариант)</v>
          </cell>
          <cell r="G3" t="str">
            <v>Район: Абинский \ Федоровская-Холмский км 19+800-28+700 \ Поверхностная обработка (II вариант)</v>
          </cell>
          <cell r="H3">
            <v>36982</v>
          </cell>
          <cell r="I3">
            <v>37165</v>
          </cell>
          <cell r="J3">
            <v>37072</v>
          </cell>
        </row>
        <row r="4">
          <cell r="A4">
            <v>2</v>
          </cell>
          <cell r="C4" t="str">
            <v>Абинский</v>
          </cell>
          <cell r="D4" t="str">
            <v>Абинск - Варнавинское  водохранилище км 10+100-18+200</v>
          </cell>
          <cell r="F4" t="str">
            <v>Поверхностная обработка (II вариант)</v>
          </cell>
          <cell r="G4" t="str">
            <v>Район: Абинский \ Абинск - Варнавинское  водохранилище км 10+100-18+200 \ Поверхностная обработка (II вариант)</v>
          </cell>
          <cell r="H4">
            <v>36982</v>
          </cell>
          <cell r="I4">
            <v>37165</v>
          </cell>
          <cell r="J4">
            <v>37072</v>
          </cell>
        </row>
        <row r="5">
          <cell r="A5">
            <v>3</v>
          </cell>
          <cell r="C5" t="str">
            <v>Абинский</v>
          </cell>
          <cell r="D5" t="str">
            <v>Абинск - Шапсугская ;  км: 0+000-1+500</v>
          </cell>
          <cell r="F5" t="str">
            <v>Поверхностная обработка (II вариант)</v>
          </cell>
          <cell r="G5" t="str">
            <v>Район: Абинский \ Абинск - Шапсугская ;  км: 0+000-1+500 \ Поверхностная обработка (II вариант)</v>
          </cell>
          <cell r="H5">
            <v>36982</v>
          </cell>
          <cell r="I5">
            <v>37165</v>
          </cell>
          <cell r="J5">
            <v>37072</v>
          </cell>
        </row>
        <row r="6">
          <cell r="A6">
            <v>4</v>
          </cell>
          <cell r="C6" t="str">
            <v>Абинский</v>
          </cell>
          <cell r="D6" t="str">
            <v>Федоровская - Холмский - Новый ;  км: 35+800-38+800</v>
          </cell>
          <cell r="F6" t="str">
            <v>Облегченный ремонт - III вариант</v>
          </cell>
          <cell r="G6" t="str">
            <v>Район: Абинский \ Федоровская - Холмский - Новый ;  км: 35+800-38+800 \ Облегченный ремонт - III вариант</v>
          </cell>
          <cell r="H6">
            <v>36982</v>
          </cell>
          <cell r="I6">
            <v>37165</v>
          </cell>
          <cell r="J6">
            <v>37072</v>
          </cell>
        </row>
        <row r="7">
          <cell r="A7">
            <v>5</v>
          </cell>
          <cell r="C7" t="str">
            <v>Анапский</v>
          </cell>
          <cell r="D7" t="str">
            <v>Андреева Гора - Варениковская - Анапа ;  км: 31+000-34+000 ; 36+000-39+700</v>
          </cell>
          <cell r="F7" t="str">
            <v>Облегченный ремонт - III вариант</v>
          </cell>
          <cell r="G7" t="str">
            <v>Район: Анапский \ Андреева Гора - Варениковская - Анапа ;  км: 31+000-34+000 ; 36+000-39+700 \ Облегченный ремонт - III вариант</v>
          </cell>
          <cell r="H7">
            <v>36982</v>
          </cell>
          <cell r="I7">
            <v>37165</v>
          </cell>
          <cell r="J7">
            <v>37072</v>
          </cell>
        </row>
        <row r="8">
          <cell r="A8">
            <v>6</v>
          </cell>
          <cell r="C8" t="str">
            <v>Анапский</v>
          </cell>
          <cell r="D8" t="str">
            <v>Подъезд к х.Черный 0+000-5+339</v>
          </cell>
          <cell r="F8" t="str">
            <v>Поверхностная обработка (II вариант)</v>
          </cell>
          <cell r="G8" t="str">
            <v>Район: Анапский \ Подъезд к х.Черный 0+000-5+339 \ Поверхностная обработка (II вариант)</v>
          </cell>
          <cell r="H8">
            <v>36982</v>
          </cell>
          <cell r="I8">
            <v>37165</v>
          </cell>
          <cell r="J8">
            <v>37072</v>
          </cell>
        </row>
        <row r="9">
          <cell r="A9">
            <v>7</v>
          </cell>
          <cell r="C9" t="str">
            <v>Анапский</v>
          </cell>
          <cell r="D9" t="str">
            <v>Подъезд к х.Чеконь  км  0+000-2+385</v>
          </cell>
          <cell r="F9" t="str">
            <v>Поверхностная обработка (II вариант)</v>
          </cell>
          <cell r="G9" t="str">
            <v>Район: Анапский \ Подъезд к х.Чеконь  км  0+000-2+385 \ Поверхностная обработка (II вариант)</v>
          </cell>
          <cell r="H9">
            <v>36982</v>
          </cell>
          <cell r="I9">
            <v>37165</v>
          </cell>
          <cell r="J9">
            <v>37072</v>
          </cell>
        </row>
        <row r="10">
          <cell r="A10">
            <v>8</v>
          </cell>
          <cell r="C10" t="str">
            <v>Анапский</v>
          </cell>
          <cell r="D10" t="str">
            <v xml:space="preserve">Подъезд к х. Пятихатки  км  0+000-2+234 </v>
          </cell>
          <cell r="F10" t="str">
            <v>Поверхностная обработка (II вариант)</v>
          </cell>
          <cell r="G10" t="str">
            <v>Район: Анапский \ Подъезд к х. Пятихатки  км  0+000-2+234  \ Поверхностная обработка (II вариант)</v>
          </cell>
          <cell r="H10">
            <v>36982</v>
          </cell>
          <cell r="I10">
            <v>37165</v>
          </cell>
          <cell r="J10">
            <v>37072</v>
          </cell>
        </row>
        <row r="11">
          <cell r="A11">
            <v>9</v>
          </cell>
          <cell r="C11" t="str">
            <v>Анапский</v>
          </cell>
          <cell r="D11" t="str">
            <v xml:space="preserve">Подъезд к п.Витязево 0+000-3+066 </v>
          </cell>
          <cell r="F11" t="str">
            <v>Поверхностная обработка (II вариант)</v>
          </cell>
          <cell r="G11" t="str">
            <v>Район: Анапский \ Подъезд к п.Витязево 0+000-3+066  \ Поверхностная обработка (II вариант)</v>
          </cell>
          <cell r="H11">
            <v>36982</v>
          </cell>
          <cell r="I11">
            <v>37165</v>
          </cell>
          <cell r="J11">
            <v>37072</v>
          </cell>
        </row>
        <row r="12">
          <cell r="A12">
            <v>10</v>
          </cell>
          <cell r="C12" t="str">
            <v>Анапский</v>
          </cell>
          <cell r="D12" t="str">
            <v>Подъезд  к х. Цибанобалка  км 0+000-2+081</v>
          </cell>
          <cell r="F12" t="str">
            <v>Поверхностная обработка (II вариант)</v>
          </cell>
          <cell r="G12" t="str">
            <v>Район: Анапский \ Подъезд  к х. Цибанобалка  км 0+000-2+081 \ Поверхностная обработка (II вариант)</v>
          </cell>
          <cell r="H12">
            <v>36982</v>
          </cell>
          <cell r="I12">
            <v>37165</v>
          </cell>
          <cell r="J12">
            <v>37072</v>
          </cell>
        </row>
        <row r="13">
          <cell r="A13">
            <v>11</v>
          </cell>
          <cell r="C13" t="str">
            <v>Анапский</v>
          </cell>
          <cell r="D13" t="str">
            <v>Юровка - Раевская - Волчьи Ворота ;  км: 13+375-18+675</v>
          </cell>
          <cell r="F13" t="str">
            <v>Уширение земполотна и проезжей части (комплекс)</v>
          </cell>
          <cell r="G13" t="str">
            <v>Район: Анапский \ Юровка - Раевская - Волчьи Ворота ;  км: 13+375-18+675 \ Уширение земполотна и проезжей части (комплекс)</v>
          </cell>
          <cell r="H13">
            <v>36982</v>
          </cell>
          <cell r="I13">
            <v>37165</v>
          </cell>
          <cell r="J13">
            <v>37072</v>
          </cell>
        </row>
        <row r="14">
          <cell r="A14">
            <v>12</v>
          </cell>
          <cell r="C14" t="str">
            <v>Апшеронский</v>
          </cell>
          <cell r="D14" t="str">
            <v>Кубанская - Саратовская ;  км: 10+000-12+500</v>
          </cell>
          <cell r="F14" t="str">
            <v>Поверхностная обработка (II вариант)</v>
          </cell>
          <cell r="G14" t="str">
            <v>Район: Апшеронский \ Кубанская - Саратовская ;  км: 10+000-12+500 \ Поверхностная обработка (II вариант)</v>
          </cell>
          <cell r="H14">
            <v>36982</v>
          </cell>
          <cell r="I14">
            <v>37165</v>
          </cell>
          <cell r="J14">
            <v>37072</v>
          </cell>
        </row>
        <row r="15">
          <cell r="A15">
            <v>13</v>
          </cell>
          <cell r="C15" t="str">
            <v>Апшеронский</v>
          </cell>
          <cell r="D15" t="str">
            <v>Апшеронск-Ширванская ;  км: 5+300-12+300</v>
          </cell>
          <cell r="F15" t="str">
            <v>Поверхностная обработка (II вариант)</v>
          </cell>
          <cell r="G15" t="str">
            <v>Район: Апшеронский \ Апшеронск-Ширванская ;  км: 5+300-12+300 \ Поверхностная обработка (II вариант)</v>
          </cell>
          <cell r="H15">
            <v>36982</v>
          </cell>
          <cell r="I15">
            <v>37165</v>
          </cell>
          <cell r="J15">
            <v>37072</v>
          </cell>
        </row>
        <row r="16">
          <cell r="A16">
            <v>14</v>
          </cell>
          <cell r="C16" t="str">
            <v>Апшеронский</v>
          </cell>
          <cell r="D16" t="str">
            <v>Майкоп - Туапсе ;  км: 164+300-165+000</v>
          </cell>
          <cell r="F16" t="str">
            <v>Поверхностная обработка (II вариант)</v>
          </cell>
          <cell r="G16" t="str">
            <v>Район: Апшеронский \ Майкоп - Туапсе ;  км: 164+300-165+000 \ Поверхностная обработка (II вариант)</v>
          </cell>
          <cell r="H16">
            <v>36982</v>
          </cell>
          <cell r="I16">
            <v>37165</v>
          </cell>
          <cell r="J16">
            <v>37072</v>
          </cell>
        </row>
        <row r="17">
          <cell r="A17">
            <v>15</v>
          </cell>
          <cell r="C17" t="str">
            <v>Апшеронский</v>
          </cell>
          <cell r="D17" t="str">
            <v>Майкоп - Туапсе ;  км: 173+000-180+000</v>
          </cell>
          <cell r="F17" t="str">
            <v>Поверхностная обработка (II вариант)</v>
          </cell>
          <cell r="G17" t="str">
            <v>Район: Апшеронский \ Майкоп - Туапсе ;  км: 173+000-180+000 \ Поверхностная обработка (II вариант)</v>
          </cell>
          <cell r="H17">
            <v>36982</v>
          </cell>
          <cell r="I17">
            <v>37165</v>
          </cell>
          <cell r="J17">
            <v>37072</v>
          </cell>
        </row>
        <row r="18">
          <cell r="A18">
            <v>16</v>
          </cell>
          <cell r="C18" t="str">
            <v>Апшеронский</v>
          </cell>
          <cell r="D18" t="str">
            <v>Подъезд к АБЗ ;  км: 0+000-1+200</v>
          </cell>
          <cell r="F18" t="str">
            <v>Поверхностная обработка (II вариант)</v>
          </cell>
          <cell r="G18" t="str">
            <v>Район: Апшеронский \ Подъезд к АБЗ ;  км: 0+000-1+200 \ Поверхностная обработка (II вариант)</v>
          </cell>
          <cell r="H18">
            <v>36982</v>
          </cell>
          <cell r="I18">
            <v>37165</v>
          </cell>
          <cell r="J18">
            <v>37072</v>
          </cell>
        </row>
        <row r="19">
          <cell r="A19">
            <v>17</v>
          </cell>
          <cell r="C19" t="str">
            <v>Апшеронский</v>
          </cell>
          <cell r="D19" t="str">
            <v>Кубанская - Саратовская ;  км: 12+500-16+300</v>
          </cell>
          <cell r="F19" t="str">
            <v>Поверхностная обработка (II вариант)</v>
          </cell>
          <cell r="G19" t="str">
            <v>Район: Апшеронский \ Кубанская - Саратовская ;  км: 12+500-16+300 \ Поверхностная обработка (II вариант)</v>
          </cell>
          <cell r="H19">
            <v>36982</v>
          </cell>
          <cell r="I19">
            <v>37165</v>
          </cell>
          <cell r="J19">
            <v>37072</v>
          </cell>
        </row>
        <row r="20">
          <cell r="A20">
            <v>18</v>
          </cell>
          <cell r="C20" t="str">
            <v>Апшеронский</v>
          </cell>
          <cell r="D20" t="str">
            <v>Кубанская - Саратовская ;  км: 7+000-10+000</v>
          </cell>
          <cell r="F20" t="str">
            <v>Облегченный ремонт - III вариант</v>
          </cell>
          <cell r="G20" t="str">
            <v>Район: Апшеронский \ Кубанская - Саратовская ;  км: 7+000-10+000 \ Облегченный ремонт - III вариант</v>
          </cell>
          <cell r="H20">
            <v>36982</v>
          </cell>
          <cell r="I20">
            <v>37165</v>
          </cell>
          <cell r="J20">
            <v>37072</v>
          </cell>
        </row>
        <row r="21">
          <cell r="A21">
            <v>19</v>
          </cell>
          <cell r="C21" t="str">
            <v>Апшеронский</v>
          </cell>
          <cell r="D21" t="str">
            <v>Горячий Ключ - Хадыженск ;  км: 39+000-45+500 (на участке 43+500-45+500)</v>
          </cell>
          <cell r="F21" t="str">
            <v>Капитальный ремонт с усилением дорожной одежды</v>
          </cell>
          <cell r="G21" t="str">
            <v>Район: Апшеронский \ Горячий Ключ - Хадыженск ;  км: 39+000-45+500 (на участке 43+500-45+500) \ Капитальный ремонт с усилением дорожной одежды</v>
          </cell>
          <cell r="H21">
            <v>36982</v>
          </cell>
          <cell r="I21">
            <v>37165</v>
          </cell>
          <cell r="J21">
            <v>37072</v>
          </cell>
        </row>
        <row r="22">
          <cell r="A22">
            <v>20</v>
          </cell>
          <cell r="C22" t="str">
            <v>Белоглинский</v>
          </cell>
          <cell r="D22" t="str">
            <v>Центральный - а/д "Ростов-Ставрополь" ;  км: 12+080-17+378</v>
          </cell>
          <cell r="F22" t="str">
            <v>Поверхностная обработка (II вариант)</v>
          </cell>
          <cell r="G22" t="str">
            <v>Район: Белоглинский \ Центральный - а/д "Ростов-Ставрополь" ;  км: 12+080-17+378 \ Поверхностная обработка (II вариант)</v>
          </cell>
          <cell r="H22">
            <v>36982</v>
          </cell>
          <cell r="I22">
            <v>37165</v>
          </cell>
          <cell r="J22">
            <v>37072</v>
          </cell>
        </row>
        <row r="23">
          <cell r="A23">
            <v>21</v>
          </cell>
          <cell r="C23" t="str">
            <v>Белоглинский</v>
          </cell>
          <cell r="D23" t="str">
            <v>Новопавловка-Кулешовка ;  км: 2+500-4+000</v>
          </cell>
          <cell r="F23" t="str">
            <v>Поверхностная обработка (II вариант)</v>
          </cell>
          <cell r="G23" t="str">
            <v>Район: Белоглинский \ Новопавловка-Кулешовка ;  км: 2+500-4+000 \ Поверхностная обработка (II вариант)</v>
          </cell>
          <cell r="H23">
            <v>36982</v>
          </cell>
          <cell r="I23">
            <v>37165</v>
          </cell>
          <cell r="J23">
            <v>37072</v>
          </cell>
        </row>
        <row r="24">
          <cell r="A24">
            <v>22</v>
          </cell>
          <cell r="C24" t="str">
            <v>Белоглинский</v>
          </cell>
          <cell r="D24" t="str">
            <v>Селекционный-Семеноводческий ;  км: 0+000-6+000</v>
          </cell>
          <cell r="F24" t="str">
            <v>Поверхностная обработка (II вариант)</v>
          </cell>
          <cell r="G24" t="str">
            <v>Район: Белоглинский \ Селекционный-Семеноводческий ;  км: 0+000-6+000 \ Поверхностная обработка (II вариант)</v>
          </cell>
          <cell r="H24">
            <v>36982</v>
          </cell>
          <cell r="I24">
            <v>37165</v>
          </cell>
          <cell r="J24">
            <v>37072</v>
          </cell>
        </row>
        <row r="25">
          <cell r="A25">
            <v>23</v>
          </cell>
          <cell r="C25" t="str">
            <v>Белоглинский</v>
          </cell>
          <cell r="D25" t="str">
            <v>Сальск - Тихорецк ;  км: 4+715-11+915</v>
          </cell>
          <cell r="F25" t="str">
            <v>Поверхностная обработка (II вариант)</v>
          </cell>
          <cell r="G25" t="str">
            <v>Район: Белоглинский \ Сальск - Тихорецк ;  км: 4+715-11+915 \ Поверхностная обработка (II вариант)</v>
          </cell>
          <cell r="H25">
            <v>36982</v>
          </cell>
          <cell r="I25">
            <v>37165</v>
          </cell>
          <cell r="J25">
            <v>37072</v>
          </cell>
        </row>
        <row r="26">
          <cell r="A26">
            <v>24</v>
          </cell>
          <cell r="C26" t="str">
            <v>Белоглинский</v>
          </cell>
          <cell r="D26" t="str">
            <v>Новопавловка - Кулешовка ;  км: 8+000-10+900</v>
          </cell>
          <cell r="F26" t="str">
            <v>Облегченный ремонт - III вариант</v>
          </cell>
          <cell r="G26" t="str">
            <v>Район: Белоглинский \ Новопавловка - Кулешовка ;  км: 8+000-10+900 \ Облегченный ремонт - III вариант</v>
          </cell>
          <cell r="H26">
            <v>36982</v>
          </cell>
          <cell r="I26">
            <v>37165</v>
          </cell>
          <cell r="J26">
            <v>37072</v>
          </cell>
        </row>
        <row r="27">
          <cell r="A27">
            <v>25</v>
          </cell>
          <cell r="C27" t="str">
            <v>Белореченский</v>
          </cell>
          <cell r="D27" t="str">
            <v>Гурийская - Черниговская - Рязанская ;  км: 32+900-37+600</v>
          </cell>
          <cell r="F27" t="str">
            <v>Поверхностная обработка (II вариант)</v>
          </cell>
          <cell r="G27" t="str">
            <v>Район: Белореченский \ Гурийская - Черниговская - Рязанская ;  км: 32+900-37+600 \ Поверхностная обработка (II вариант)</v>
          </cell>
          <cell r="H27">
            <v>36982</v>
          </cell>
          <cell r="I27">
            <v>37165</v>
          </cell>
          <cell r="J27">
            <v>37072</v>
          </cell>
        </row>
        <row r="28">
          <cell r="A28">
            <v>26</v>
          </cell>
          <cell r="C28" t="str">
            <v>Белореченский</v>
          </cell>
          <cell r="D28" t="str">
            <v>Белореченск - Апшеронск ;  км: 11+000-16+200</v>
          </cell>
          <cell r="F28" t="str">
            <v>Облегченный ремонт - III вариант</v>
          </cell>
          <cell r="G28" t="str">
            <v>Район: Белореченский \ Белореченск - Апшеронск ;  км: 11+000-16+200 \ Облегченный ремонт - III вариант</v>
          </cell>
          <cell r="H28">
            <v>36982</v>
          </cell>
          <cell r="I28">
            <v>37165</v>
          </cell>
          <cell r="J28">
            <v>37072</v>
          </cell>
        </row>
        <row r="29">
          <cell r="A29">
            <v>27</v>
          </cell>
          <cell r="C29" t="str">
            <v>Брюховецкий</v>
          </cell>
          <cell r="D29" t="str">
            <v>Новоджерилиевская - Брюховецкая - Батуринская ;  км: 22+000-37+000</v>
          </cell>
          <cell r="F29" t="str">
            <v>Поверхностная обработка (II вариант)</v>
          </cell>
          <cell r="G29" t="str">
            <v>Район: Брюховецкий \ Новоджерилиевская - Брюховецкая - Батуринская ;  км: 22+000-37+000 \ Поверхностная обработка (II вариант)</v>
          </cell>
          <cell r="H29">
            <v>36982</v>
          </cell>
          <cell r="I29">
            <v>37165</v>
          </cell>
          <cell r="J29">
            <v>37072</v>
          </cell>
        </row>
        <row r="30">
          <cell r="A30">
            <v>28</v>
          </cell>
          <cell r="C30" t="str">
            <v>Брюховецкий</v>
          </cell>
          <cell r="D30" t="str">
            <v>Батуринское-Новое Село ;  км: 4+000-20+000 (на участке с 12+000-16+000)</v>
          </cell>
          <cell r="F30" t="str">
            <v>Капитальный ремонт с усилением дорожной одежды</v>
          </cell>
          <cell r="G30" t="str">
            <v>Район: Брюховецкий \ Батуринское-Новое Село ;  км: 4+000-20+000 (на участке с 12+000-16+000) \ Капитальный ремонт с усилением дорожной одежды</v>
          </cell>
          <cell r="H30">
            <v>36982</v>
          </cell>
          <cell r="I30">
            <v>37165</v>
          </cell>
          <cell r="J30">
            <v>37072</v>
          </cell>
        </row>
        <row r="31">
          <cell r="A31">
            <v>29</v>
          </cell>
          <cell r="C31" t="str">
            <v>Выселковский</v>
          </cell>
          <cell r="D31" t="str">
            <v>Журавская - Тихорецк ;  км: 42+000-47+830</v>
          </cell>
          <cell r="F31" t="str">
            <v>Поверхностная обработка (II вариант)</v>
          </cell>
          <cell r="G31" t="str">
            <v>Район: Выселковский \ Журавская - Тихорецк ;  км: 42+000-47+830 \ Поверхностная обработка (II вариант)</v>
          </cell>
          <cell r="H31">
            <v>36982</v>
          </cell>
          <cell r="I31">
            <v>37165</v>
          </cell>
          <cell r="J31">
            <v>37072</v>
          </cell>
        </row>
        <row r="32">
          <cell r="A32">
            <v>30</v>
          </cell>
          <cell r="C32" t="str">
            <v>Выселковский</v>
          </cell>
          <cell r="D32" t="str">
            <v>Бейсуг - Новомалороссийская - Новогражданская ;  км: 13+000-15+000 ; 18+000-22+830</v>
          </cell>
          <cell r="F32" t="str">
            <v>Поверхностная обработка (II вариант)</v>
          </cell>
          <cell r="G32" t="str">
            <v>Район: Выселковский \ Бейсуг - Новомалороссийская - Новогражданская ;  км: 13+000-15+000 ; 18+000-22+830 \ Поверхностная обработка (II вариант)</v>
          </cell>
          <cell r="H32">
            <v>36982</v>
          </cell>
          <cell r="I32">
            <v>37165</v>
          </cell>
          <cell r="J32">
            <v>37072</v>
          </cell>
        </row>
        <row r="33">
          <cell r="A33">
            <v>31</v>
          </cell>
          <cell r="C33" t="str">
            <v>Выселковский</v>
          </cell>
          <cell r="D33" t="str">
            <v>Выселки - Новобейсугская ;  км: 21+000-28+556</v>
          </cell>
          <cell r="F33" t="str">
            <v>Поверхностная обработка (II вариант)</v>
          </cell>
          <cell r="G33" t="str">
            <v>Район: Выселковский \ Выселки - Новобейсугская ;  км: 21+000-28+556 \ Поверхностная обработка (II вариант)</v>
          </cell>
          <cell r="H33">
            <v>36982</v>
          </cell>
          <cell r="I33">
            <v>37165</v>
          </cell>
          <cell r="J33">
            <v>37072</v>
          </cell>
        </row>
        <row r="34">
          <cell r="A34">
            <v>32</v>
          </cell>
          <cell r="C34" t="str">
            <v>г.Геленджик</v>
          </cell>
          <cell r="D34" t="str">
            <v>Подъезд к а.Широкая Щель ;  км: 0+000-2+280</v>
          </cell>
          <cell r="F34" t="str">
            <v>Поверхностная обработка (I вариант)</v>
          </cell>
          <cell r="G34" t="str">
            <v>Район: г.Геленджик \ Подъезд к а.Широкая Щель ;  км: 0+000-2+280 \ Поверхностная обработка (I вариант)</v>
          </cell>
          <cell r="H34">
            <v>36982</v>
          </cell>
          <cell r="I34">
            <v>37165</v>
          </cell>
          <cell r="J34">
            <v>37072</v>
          </cell>
        </row>
        <row r="35">
          <cell r="A35">
            <v>33</v>
          </cell>
          <cell r="C35" t="str">
            <v>г.Геленджик</v>
          </cell>
          <cell r="D35" t="str">
            <v>Подъезд к с.Марьина Роща км 0+000-1+655</v>
          </cell>
          <cell r="F35" t="str">
            <v>Поверхностная обработка (I вариант)</v>
          </cell>
          <cell r="G35" t="str">
            <v>Район: г.Геленджик \ Подъезд к с.Марьина Роща км 0+000-1+655 \ Поверхностная обработка (I вариант)</v>
          </cell>
          <cell r="H35">
            <v>36982</v>
          </cell>
          <cell r="I35">
            <v>37165</v>
          </cell>
          <cell r="J35">
            <v>37072</v>
          </cell>
        </row>
        <row r="36">
          <cell r="A36">
            <v>34</v>
          </cell>
          <cell r="C36" t="str">
            <v>г.Геленджик</v>
          </cell>
          <cell r="D36" t="str">
            <v>Джанхот - Прасковеевка ;  км: 0+000-12+400 (на участке 0+000-4+000)</v>
          </cell>
          <cell r="F36" t="str">
            <v>Перевод гравийных и щебеночных дорог в а/б с пов.обр</v>
          </cell>
          <cell r="G36" t="str">
            <v>Район: г.Геленджик \ Джанхот - Прасковеевка ;  км: 0+000-12+400 (на участке 0+000-4+000) \ Перевод гравийных и щебеночных дорог в а/б с пов.обр</v>
          </cell>
          <cell r="H36">
            <v>36982</v>
          </cell>
          <cell r="I36">
            <v>37165</v>
          </cell>
          <cell r="J36">
            <v>37072</v>
          </cell>
        </row>
        <row r="37">
          <cell r="A37">
            <v>35</v>
          </cell>
          <cell r="C37" t="str">
            <v>г.Геленджик</v>
          </cell>
          <cell r="D37" t="str">
            <v>Подъезд к а.Широкая Щель ;  км: 2+280</v>
          </cell>
          <cell r="F37" t="str">
            <v>Устройство площадок для стоянки и остановки а/м</v>
          </cell>
          <cell r="G37" t="str">
            <v>Район: г.Геленджик \ Подъезд к а.Широкая Щель ;  км: 2+280 \ Устройство площадок для стоянки и остановки а/м</v>
          </cell>
          <cell r="H37">
            <v>36982</v>
          </cell>
          <cell r="I37">
            <v>37165</v>
          </cell>
          <cell r="J37">
            <v>37072</v>
          </cell>
        </row>
        <row r="38">
          <cell r="A38">
            <v>36</v>
          </cell>
          <cell r="C38" t="str">
            <v>г.Геленджик</v>
          </cell>
          <cell r="D38" t="str">
            <v>Подъезд к с.Марьина Роща км 0+800</v>
          </cell>
          <cell r="F38" t="str">
            <v>Устройство остановочных площадок</v>
          </cell>
          <cell r="G38" t="str">
            <v>Район: г.Геленджик \ Подъезд к с.Марьина Роща км 0+800 \ Устройство остановочных площадок</v>
          </cell>
          <cell r="H38">
            <v>36982</v>
          </cell>
          <cell r="I38">
            <v>37165</v>
          </cell>
          <cell r="J38">
            <v>37072</v>
          </cell>
        </row>
        <row r="39">
          <cell r="A39">
            <v>37</v>
          </cell>
          <cell r="C39" t="str">
            <v>г.Геленджик</v>
          </cell>
          <cell r="D39" t="str">
            <v>Магистраль "Дон" - Джанхот ;  км:0+020, 2+645,5+777</v>
          </cell>
          <cell r="F39" t="str">
            <v>Ремонт остановочных площадок</v>
          </cell>
          <cell r="G39" t="str">
            <v>Район: г.Геленджик \ Магистраль "Дон" - Джанхот ;  км:0+020, 2+645,5+777 \ Ремонт остановочных площадок</v>
          </cell>
          <cell r="H39">
            <v>36982</v>
          </cell>
          <cell r="I39">
            <v>37165</v>
          </cell>
          <cell r="J39">
            <v>37072</v>
          </cell>
        </row>
        <row r="40">
          <cell r="A40">
            <v>38</v>
          </cell>
          <cell r="C40" t="str">
            <v>г.Горячий Ключ</v>
          </cell>
          <cell r="D40" t="str">
            <v>Саратовская - Мартанская ;  км: 0+000-19+900 (на участке 0+000-9+000)</v>
          </cell>
          <cell r="F40" t="str">
            <v>Поверхностная обработка (II вариант)</v>
          </cell>
          <cell r="G40" t="str">
            <v>Район: г.Горячий Ключ \ Саратовская - Мартанская ;  км: 0+000-19+900 (на участке 0+000-9+000) \ Поверхностная обработка (II вариант)</v>
          </cell>
          <cell r="H40">
            <v>36982</v>
          </cell>
          <cell r="I40">
            <v>37165</v>
          </cell>
          <cell r="J40">
            <v>37072</v>
          </cell>
        </row>
        <row r="41">
          <cell r="A41">
            <v>39</v>
          </cell>
          <cell r="C41" t="str">
            <v>г.Горячий Ключ</v>
          </cell>
          <cell r="D41" t="str">
            <v>Саратовская - Горячий Ключ ;  км: 0+000-15+500 (на участке 1+000-5+000)</v>
          </cell>
          <cell r="F41" t="str">
            <v>Поверхностная обработка (II вариант)</v>
          </cell>
          <cell r="G41" t="str">
            <v>Район: г.Горячий Ключ \ Саратовская - Горячий Ключ ;  км: 0+000-15+500 (на участке 1+000-5+000) \ Поверхностная обработка (II вариант)</v>
          </cell>
          <cell r="H41">
            <v>36982</v>
          </cell>
          <cell r="I41">
            <v>37165</v>
          </cell>
          <cell r="J41">
            <v>37072</v>
          </cell>
        </row>
        <row r="42">
          <cell r="A42">
            <v>40</v>
          </cell>
          <cell r="C42" t="str">
            <v>г.Горячий Ключ</v>
          </cell>
          <cell r="D42" t="str">
            <v>Горячий Ключ - Хадыженск ;  км: 20+700-25+500 (на участке 22+700-23+700)</v>
          </cell>
          <cell r="F42" t="str">
            <v>Уширение земполотна и проезжей части (комплекс)</v>
          </cell>
          <cell r="G42" t="str">
            <v>Район: г.Горячий Ключ \ Горячий Ключ - Хадыженск ;  км: 20+700-25+500 (на участке 22+700-23+700) \ Уширение земполотна и проезжей части (комплекс)</v>
          </cell>
          <cell r="H42">
            <v>36982</v>
          </cell>
          <cell r="I42">
            <v>37165</v>
          </cell>
          <cell r="J42">
            <v>37072</v>
          </cell>
        </row>
        <row r="43">
          <cell r="A43">
            <v>41</v>
          </cell>
          <cell r="C43" t="str">
            <v>г.Горячий Ключ</v>
          </cell>
          <cell r="D43" t="str">
            <v>Горячий Ключ - Хадыженск ;  км: 6+200 ; 13+100</v>
          </cell>
          <cell r="F43" t="str">
            <v>Устройство автопавильонов</v>
          </cell>
          <cell r="G43" t="str">
            <v>Район: г.Горячий Ключ \ Горячий Ключ - Хадыженск ;  км: 6+200 ; 13+100 \ Устройство автопавильонов</v>
          </cell>
          <cell r="H43">
            <v>36982</v>
          </cell>
          <cell r="I43">
            <v>37165</v>
          </cell>
          <cell r="J43">
            <v>37072</v>
          </cell>
        </row>
        <row r="44">
          <cell r="A44">
            <v>42</v>
          </cell>
          <cell r="C44" t="str">
            <v>г.Горячий Ключ</v>
          </cell>
          <cell r="D44" t="str">
            <v>Саратовская - Мартанская ;  км: 1+900; 20+100</v>
          </cell>
          <cell r="F44" t="str">
            <v>Устройство автопавильонов</v>
          </cell>
          <cell r="G44" t="str">
            <v>Район: г.Горячий Ключ \ Саратовская - Мартанская ;  км: 1+900; 20+100 \ Устройство автопавильонов</v>
          </cell>
          <cell r="H44">
            <v>36982</v>
          </cell>
          <cell r="I44">
            <v>37165</v>
          </cell>
          <cell r="J44">
            <v>37072</v>
          </cell>
        </row>
        <row r="45">
          <cell r="A45">
            <v>43</v>
          </cell>
          <cell r="C45" t="str">
            <v>г.Краснодар</v>
          </cell>
          <cell r="D45" t="str">
            <v>Темрюк - Краснодар - Кропоткин ;  км: 163+000-164+200 ; 165+200-168+000 ; 171+000-176+000 ; 178+000-180+000</v>
          </cell>
          <cell r="F45" t="str">
            <v>Поверхностная обработка (II вариант)</v>
          </cell>
          <cell r="G45" t="str">
            <v>Район: г.Краснодар \ Темрюк - Краснодар - Кропоткин ;  км: 163+000-164+200 ; 165+200-168+000 ; 171+000-176+000 ; 178+000-180+000 \ Поверхностная обработка (II вариант)</v>
          </cell>
          <cell r="H45">
            <v>36982</v>
          </cell>
          <cell r="I45">
            <v>37165</v>
          </cell>
          <cell r="J45">
            <v>37072</v>
          </cell>
        </row>
        <row r="46">
          <cell r="A46">
            <v>44</v>
          </cell>
          <cell r="C46" t="str">
            <v>г.Краснодар</v>
          </cell>
          <cell r="D46" t="str">
            <v>Подъезд к п.Пригородный ;  км: 3+000-6+800</v>
          </cell>
          <cell r="F46" t="str">
            <v>Поверхностная обработка (II вариант)</v>
          </cell>
          <cell r="G46" t="str">
            <v>Район: г.Краснодар \ Подъезд к п.Пригородный ;  км: 3+000-6+800 \ Поверхностная обработка (II вариант)</v>
          </cell>
          <cell r="H46">
            <v>36982</v>
          </cell>
          <cell r="I46">
            <v>37165</v>
          </cell>
          <cell r="J46">
            <v>37072</v>
          </cell>
        </row>
        <row r="47">
          <cell r="A47">
            <v>45</v>
          </cell>
          <cell r="C47" t="str">
            <v>г.Краснодар</v>
          </cell>
          <cell r="D47" t="str">
            <v>ОПХ Центральное-Витаминкомбинат ;  км: 0+000-5+630</v>
          </cell>
          <cell r="F47" t="str">
            <v>Поверхностная обработка (II вариант)</v>
          </cell>
          <cell r="G47" t="str">
            <v>Район: г.Краснодар \ ОПХ Центральное-Витаминкомбинат ;  км: 0+000-5+630 \ Поверхностная обработка (II вариант)</v>
          </cell>
          <cell r="H47">
            <v>36982</v>
          </cell>
          <cell r="I47">
            <v>37165</v>
          </cell>
          <cell r="J47">
            <v>37072</v>
          </cell>
        </row>
        <row r="48">
          <cell r="A48">
            <v>46</v>
          </cell>
          <cell r="C48" t="str">
            <v>г.Краснодар</v>
          </cell>
          <cell r="D48" t="str">
            <v>Подъезд к п.Дружелюбный ;  км: 0+000-4+000</v>
          </cell>
          <cell r="F48" t="str">
            <v>Поверхностная обработка (II вариант)</v>
          </cell>
          <cell r="G48" t="str">
            <v>Район: г.Краснодар \ Подъезд к п.Дружелюбный ;  км: 0+000-4+000 \ Поверхностная обработка (II вариант)</v>
          </cell>
          <cell r="H48">
            <v>36982</v>
          </cell>
          <cell r="I48">
            <v>37165</v>
          </cell>
          <cell r="J48">
            <v>37072</v>
          </cell>
        </row>
        <row r="49">
          <cell r="A49">
            <v>47</v>
          </cell>
          <cell r="C49" t="str">
            <v>г.Краснодар</v>
          </cell>
          <cell r="D49" t="str">
            <v>Солнечный - Лекраспром ;  км: 0+000-2+000</v>
          </cell>
          <cell r="F49" t="str">
            <v>Поверхностная обработка (II вариант)</v>
          </cell>
          <cell r="G49" t="str">
            <v>Район: г.Краснодар \ Солнечный - Лекраспром ;  км: 0+000-2+000 \ Поверхностная обработка (II вариант)</v>
          </cell>
          <cell r="H49">
            <v>36982</v>
          </cell>
          <cell r="I49">
            <v>37165</v>
          </cell>
          <cell r="J49">
            <v>37072</v>
          </cell>
        </row>
        <row r="50">
          <cell r="A50">
            <v>48</v>
          </cell>
          <cell r="C50" t="str">
            <v>г.Краснодар</v>
          </cell>
          <cell r="D50" t="str">
            <v>Солнечный - Лекраспром ;  км: 6+500 ; 20+000</v>
          </cell>
          <cell r="F50" t="str">
            <v>Устройство автопавильонов</v>
          </cell>
          <cell r="G50" t="str">
            <v>Район: г.Краснодар \ Солнечный - Лекраспром ;  км: 6+500 ; 20+000 \ Устройство автопавильонов</v>
          </cell>
          <cell r="H50">
            <v>36982</v>
          </cell>
          <cell r="I50">
            <v>37165</v>
          </cell>
          <cell r="J50">
            <v>37072</v>
          </cell>
        </row>
        <row r="51">
          <cell r="A51">
            <v>49</v>
          </cell>
          <cell r="C51" t="str">
            <v>г.Краснодар</v>
          </cell>
          <cell r="D51" t="str">
            <v>Солнечный - Лекраспром ;  км: 0+700</v>
          </cell>
          <cell r="F51" t="str">
            <v>Устройство автопавильонов</v>
          </cell>
          <cell r="G51" t="str">
            <v>Район: г.Краснодар \ Солнечный - Лекраспром ;  км: 0+700 \ Устройство автопавильонов</v>
          </cell>
          <cell r="H51">
            <v>36982</v>
          </cell>
          <cell r="I51">
            <v>37165</v>
          </cell>
          <cell r="J51">
            <v>37072</v>
          </cell>
        </row>
        <row r="52">
          <cell r="A52">
            <v>50</v>
          </cell>
          <cell r="C52" t="str">
            <v>г.Краснодар</v>
          </cell>
          <cell r="D52" t="str">
            <v>ОПХ Центральное-Витаминкомбинат ;  км: 3+500-5+600</v>
          </cell>
          <cell r="F52" t="str">
            <v>Устройство тротуаров и пешеходных дорожек</v>
          </cell>
          <cell r="G52" t="str">
            <v>Район: г.Краснодар \ ОПХ Центральное-Витаминкомбинат ;  км: 3+500-5+600 \ Устройство тротуаров и пешеходных дорожек</v>
          </cell>
          <cell r="H52">
            <v>36982</v>
          </cell>
          <cell r="I52">
            <v>37165</v>
          </cell>
          <cell r="J52">
            <v>37072</v>
          </cell>
        </row>
        <row r="53">
          <cell r="A53">
            <v>51</v>
          </cell>
          <cell r="C53" t="str">
            <v>г.Краснодар</v>
          </cell>
          <cell r="D53" t="str">
            <v>Подъезд к  п.Северный ;  км: 0+000-1+000</v>
          </cell>
          <cell r="F53" t="str">
            <v>Устройство тротуаров и пешеходных дорожек</v>
          </cell>
          <cell r="G53" t="str">
            <v>Район: г.Краснодар \ Подъезд к  п.Северный ;  км: 0+000-1+000 \ Устройство тротуаров и пешеходных дорожек</v>
          </cell>
          <cell r="H53">
            <v>36982</v>
          </cell>
          <cell r="I53">
            <v>37165</v>
          </cell>
          <cell r="J53">
            <v>37072</v>
          </cell>
        </row>
        <row r="54">
          <cell r="A54">
            <v>52</v>
          </cell>
          <cell r="C54" t="str">
            <v>г.Лабинск</v>
          </cell>
          <cell r="D54" t="str">
            <v>Подъезд к ст.Чамлыкская ;  км: 1+600-3+351</v>
          </cell>
          <cell r="F54" t="str">
            <v>Поверхностная обработка (II вариант)</v>
          </cell>
          <cell r="G54" t="str">
            <v>Район: г.Лабинск \ Подъезд к ст.Чамлыкская ;  км: 1+600-3+351 \ Поверхностная обработка (II вариант)</v>
          </cell>
          <cell r="H54">
            <v>36982</v>
          </cell>
          <cell r="I54">
            <v>37165</v>
          </cell>
          <cell r="J54">
            <v>37072</v>
          </cell>
        </row>
        <row r="55">
          <cell r="A55">
            <v>53</v>
          </cell>
          <cell r="C55" t="str">
            <v>г.Лабинск</v>
          </cell>
          <cell r="D55" t="str">
            <v>Лабинск - Ахметовская ;  км: 8+000-18+000</v>
          </cell>
          <cell r="F55" t="str">
            <v>Поверхностная обработка (II вариант)</v>
          </cell>
          <cell r="G55" t="str">
            <v>Район: г.Лабинск \ Лабинск - Ахметовская ;  км: 8+000-18+000 \ Поверхностная обработка (II вариант)</v>
          </cell>
          <cell r="H55">
            <v>36982</v>
          </cell>
          <cell r="I55">
            <v>37165</v>
          </cell>
          <cell r="J55">
            <v>37072</v>
          </cell>
        </row>
        <row r="56">
          <cell r="A56">
            <v>54</v>
          </cell>
          <cell r="C56" t="str">
            <v>г.Лабинск</v>
          </cell>
          <cell r="D56" t="str">
            <v>Владимирская - Веселый ;  км: 0+000-5+000</v>
          </cell>
          <cell r="F56" t="str">
            <v>Поверхностная обработка (II вариант)</v>
          </cell>
          <cell r="G56" t="str">
            <v>Район: г.Лабинск \ Владимирская - Веселый ;  км: 0+000-5+000 \ Поверхностная обработка (II вариант)</v>
          </cell>
          <cell r="H56">
            <v>36982</v>
          </cell>
          <cell r="I56">
            <v>37165</v>
          </cell>
          <cell r="J56">
            <v>37072</v>
          </cell>
        </row>
        <row r="57">
          <cell r="A57">
            <v>55</v>
          </cell>
          <cell r="C57" t="str">
            <v>г.Лабинск</v>
          </cell>
          <cell r="D57" t="str">
            <v>Владимирская - Веселый ;  км: 12+600-14+100</v>
          </cell>
          <cell r="F57" t="str">
            <v>Перевод гравийных и щебеночных дорог в а/б с пов.обр</v>
          </cell>
          <cell r="G57" t="str">
            <v>Район: г.Лабинск \ Владимирская - Веселый ;  км: 12+600-14+100 \ Перевод гравийных и щебеночных дорог в а/б с пов.обр</v>
          </cell>
          <cell r="H57">
            <v>36982</v>
          </cell>
          <cell r="I57">
            <v>37165</v>
          </cell>
          <cell r="J57">
            <v>37072</v>
          </cell>
        </row>
        <row r="58">
          <cell r="A58">
            <v>56</v>
          </cell>
          <cell r="C58" t="str">
            <v>г.Лабинск</v>
          </cell>
          <cell r="D58" t="str">
            <v>Вознесенская - Харьковский ;  км: 0+000-6+600 (на участке 0+000-3+000)</v>
          </cell>
          <cell r="F58" t="str">
            <v>Комплексный ремонт</v>
          </cell>
          <cell r="G58" t="str">
            <v>Район: г.Лабинск \ Вознесенская - Харьковский ;  км: 0+000-6+600 (на участке 0+000-3+000) \ Комплексный ремонт</v>
          </cell>
          <cell r="H58">
            <v>36982</v>
          </cell>
          <cell r="I58">
            <v>37165</v>
          </cell>
          <cell r="J58">
            <v>37072</v>
          </cell>
        </row>
        <row r="59">
          <cell r="A59">
            <v>57</v>
          </cell>
          <cell r="C59" t="str">
            <v>г.Лабинск</v>
          </cell>
          <cell r="D59" t="str">
            <v>Лабинск - Ахметовская ;  км: 49+000-54+000</v>
          </cell>
          <cell r="F59" t="str">
            <v>Облегченный ремонт - III вариант</v>
          </cell>
          <cell r="G59" t="str">
            <v>Район: г.Лабинск \ Лабинск - Ахметовская ;  км: 49+000-54+000 \ Облегченный ремонт - III вариант</v>
          </cell>
          <cell r="H59">
            <v>36982</v>
          </cell>
          <cell r="I59">
            <v>37165</v>
          </cell>
          <cell r="J59">
            <v>37072</v>
          </cell>
        </row>
        <row r="60">
          <cell r="A60">
            <v>58</v>
          </cell>
          <cell r="C60" t="str">
            <v>г.Лабинск</v>
          </cell>
          <cell r="D60" t="str">
            <v>Вознесенская - Первая Синюха ;  км: 14+000-16+800</v>
          </cell>
          <cell r="F60" t="str">
            <v>Облегченный ремонт - III вариант</v>
          </cell>
          <cell r="G60" t="str">
            <v>Район: г.Лабинск \ Вознесенская - Первая Синюха ;  км: 14+000-16+800 \ Облегченный ремонт - III вариант</v>
          </cell>
          <cell r="H60">
            <v>36982</v>
          </cell>
          <cell r="I60">
            <v>37165</v>
          </cell>
          <cell r="J60">
            <v>37072</v>
          </cell>
        </row>
        <row r="61">
          <cell r="A61">
            <v>59</v>
          </cell>
          <cell r="C61" t="str">
            <v>г.Лабинск</v>
          </cell>
          <cell r="D61" t="str">
            <v>Подходы к мосту ;  км: 0+000-1+600</v>
          </cell>
          <cell r="F61" t="str">
            <v>Облегченный ремонт - III вариант</v>
          </cell>
          <cell r="G61" t="str">
            <v>Район: г.Лабинск \ Подходы к мосту ;  км: 0+000-1+600 \ Облегченный ремонт - III вариант</v>
          </cell>
          <cell r="H61">
            <v>36982</v>
          </cell>
          <cell r="I61">
            <v>37165</v>
          </cell>
          <cell r="J61">
            <v>37072</v>
          </cell>
        </row>
        <row r="62">
          <cell r="A62">
            <v>60</v>
          </cell>
          <cell r="C62" t="str">
            <v>г.Лабинск</v>
          </cell>
          <cell r="D62" t="str">
            <v>Лабинск - Ахметовская ;  км: 34+000-38+000</v>
          </cell>
          <cell r="F62" t="str">
            <v>Облегченный ремонт - III вариант</v>
          </cell>
          <cell r="G62" t="str">
            <v>Район: г.Лабинск \ Лабинск - Ахметовская ;  км: 34+000-38+000 \ Облегченный ремонт - III вариант</v>
          </cell>
          <cell r="H62">
            <v>36982</v>
          </cell>
          <cell r="I62">
            <v>37165</v>
          </cell>
          <cell r="J62">
            <v>37072</v>
          </cell>
        </row>
        <row r="63">
          <cell r="A63">
            <v>61</v>
          </cell>
          <cell r="C63" t="str">
            <v>г.Новороссийск</v>
          </cell>
          <cell r="D63" t="str">
            <v>Кириловка-Гайдук ;  км: 0+000-5+000</v>
          </cell>
          <cell r="F63" t="str">
            <v>Поверхностная обработка (II вариант)</v>
          </cell>
          <cell r="G63" t="str">
            <v>Район: г.Новороссийск \ Кириловка-Гайдук ;  км: 0+000-5+000 \ Поверхностная обработка (II вариант)</v>
          </cell>
          <cell r="H63">
            <v>36982</v>
          </cell>
          <cell r="I63">
            <v>37165</v>
          </cell>
          <cell r="J63">
            <v>37072</v>
          </cell>
        </row>
        <row r="64">
          <cell r="A64">
            <v>62</v>
          </cell>
          <cell r="C64" t="str">
            <v>г.Новороссийск</v>
          </cell>
          <cell r="D64" t="str">
            <v>Юровка - Раевская - Волчьи Ворота ;  км: 24+400-31+000 ; 33+000-37+000</v>
          </cell>
          <cell r="F64" t="str">
            <v>Поверхностная обработка (II вариант)</v>
          </cell>
          <cell r="G64" t="str">
            <v>Район: г.Новороссийск \ Юровка - Раевская - Волчьи Ворота ;  км: 24+400-31+000 ; 33+000-37+000 \ Поверхностная обработка (II вариант)</v>
          </cell>
          <cell r="H64">
            <v>36982</v>
          </cell>
          <cell r="I64">
            <v>37165</v>
          </cell>
          <cell r="J64">
            <v>37072</v>
          </cell>
        </row>
        <row r="65">
          <cell r="A65">
            <v>63</v>
          </cell>
          <cell r="C65" t="str">
            <v>г.Сочи</v>
          </cell>
          <cell r="D65" t="str">
            <v>Подъезд к с.Верхнее Буу ;  км: 0+000-0+780 ; 0+950-2+800</v>
          </cell>
          <cell r="F65" t="str">
            <v>Поверхностная обработка (II вариант)</v>
          </cell>
          <cell r="G65" t="str">
            <v>Район: г.Сочи \ Подъезд к с.Верхнее Буу ;  км: 0+000-0+780 ; 0+950-2+800 \ Поверхностная обработка (II вариант)</v>
          </cell>
          <cell r="H65">
            <v>36982</v>
          </cell>
          <cell r="I65">
            <v>37165</v>
          </cell>
          <cell r="J65">
            <v>37072</v>
          </cell>
        </row>
        <row r="66">
          <cell r="A66">
            <v>64</v>
          </cell>
          <cell r="C66" t="str">
            <v>г.Сочи</v>
          </cell>
          <cell r="D66" t="str">
            <v>Дагомыс - Солох Аул ;  км: 0+800-8+800</v>
          </cell>
          <cell r="F66" t="str">
            <v>Поверхностная обработка (II вариант)</v>
          </cell>
          <cell r="G66" t="str">
            <v>Район: г.Сочи \ Дагомыс - Солох Аул ;  км: 0+800-8+800 \ Поверхностная обработка (II вариант)</v>
          </cell>
          <cell r="H66">
            <v>36982</v>
          </cell>
          <cell r="I66">
            <v>37165</v>
          </cell>
          <cell r="J66">
            <v>37072</v>
          </cell>
        </row>
        <row r="67">
          <cell r="A67">
            <v>65</v>
          </cell>
          <cell r="C67" t="str">
            <v>Гулькевичский</v>
          </cell>
          <cell r="D67" t="str">
            <v>Гулькевичи - Кропоткин ;  км: 0+000-9+233</v>
          </cell>
          <cell r="F67" t="str">
            <v>Поверхностная обработка (II вариант)</v>
          </cell>
          <cell r="G67" t="str">
            <v>Район: Гулькевичский \ Гулькевичи - Кропоткин ;  км: 0+000-9+233 \ Поверхностная обработка (II вариант)</v>
          </cell>
          <cell r="H67">
            <v>36982</v>
          </cell>
          <cell r="I67">
            <v>37165</v>
          </cell>
          <cell r="J67">
            <v>37072</v>
          </cell>
        </row>
        <row r="68">
          <cell r="A68">
            <v>66</v>
          </cell>
          <cell r="C68" t="str">
            <v>Гулькевичский</v>
          </cell>
          <cell r="D68" t="str">
            <v>Гулькевичи - Скобелевская ;  км: 0+000-7+400</v>
          </cell>
          <cell r="F68" t="str">
            <v>Поверхностная обработка (II вариант)</v>
          </cell>
          <cell r="G68" t="str">
            <v>Район: Гулькевичский \ Гулькевичи - Скобелевская ;  км: 0+000-7+400 \ Поверхностная обработка (II вариант)</v>
          </cell>
          <cell r="H68">
            <v>36982</v>
          </cell>
          <cell r="I68">
            <v>37165</v>
          </cell>
          <cell r="J68">
            <v>37072</v>
          </cell>
        </row>
        <row r="69">
          <cell r="A69">
            <v>67</v>
          </cell>
          <cell r="C69" t="str">
            <v>Гулькевичский</v>
          </cell>
          <cell r="D69" t="str">
            <v>Гулькевичи - Новоукраинское - гр.Тбилисского района ;  км: 4+400-9+700</v>
          </cell>
          <cell r="F69" t="str">
            <v>Поверхностная обработка (II вариант)</v>
          </cell>
          <cell r="G69" t="str">
            <v>Район: Гулькевичский \ Гулькевичи - Новоукраинское - гр.Тбилисского района ;  км: 4+400-9+700 \ Поверхностная обработка (II вариант)</v>
          </cell>
          <cell r="H69">
            <v>36982</v>
          </cell>
          <cell r="I69">
            <v>37165</v>
          </cell>
          <cell r="J69">
            <v>37072</v>
          </cell>
        </row>
        <row r="70">
          <cell r="A70">
            <v>68</v>
          </cell>
          <cell r="C70" t="str">
            <v>Гулькевичский</v>
          </cell>
          <cell r="D70" t="str">
            <v>Подъезд к ц/у с-за "Кубань" ;  км: 0+000-1+526</v>
          </cell>
          <cell r="F70" t="str">
            <v>Поверхностная обработка (II вариант)</v>
          </cell>
          <cell r="G70" t="str">
            <v>Район: Гулькевичский \ Подъезд к ц/у с-за "Кубань" ;  км: 0+000-1+526 \ Поверхностная обработка (II вариант)</v>
          </cell>
          <cell r="H70">
            <v>36982</v>
          </cell>
          <cell r="I70">
            <v>37165</v>
          </cell>
          <cell r="J70">
            <v>37072</v>
          </cell>
        </row>
        <row r="71">
          <cell r="A71">
            <v>69</v>
          </cell>
          <cell r="C71" t="str">
            <v>Гулькевичский</v>
          </cell>
          <cell r="D71" t="str">
            <v>Подъезд к х.Духовской ;  км: 1+800-8+200</v>
          </cell>
          <cell r="F71" t="str">
            <v>Облегченный ремонт - III вариант</v>
          </cell>
          <cell r="G71" t="str">
            <v>Район: Гулькевичский \ Подъезд к х.Духовской ;  км: 1+800-8+200 \ Облегченный ремонт - III вариант</v>
          </cell>
          <cell r="H71">
            <v>36982</v>
          </cell>
          <cell r="I71">
            <v>37165</v>
          </cell>
          <cell r="J71">
            <v>37072</v>
          </cell>
        </row>
        <row r="72">
          <cell r="A72">
            <v>70</v>
          </cell>
          <cell r="C72" t="str">
            <v>Динской</v>
          </cell>
          <cell r="D72" t="str">
            <v>Краснодар - Ейск ;  км: 11+000-16+000</v>
          </cell>
          <cell r="F72" t="str">
            <v>Поверхностная обработка (II вариант)</v>
          </cell>
          <cell r="G72" t="str">
            <v>Район: Динской \ Краснодар - Ейск ;  км: 11+000-16+000 \ Поверхностная обработка (II вариант)</v>
          </cell>
          <cell r="H72">
            <v>36982</v>
          </cell>
          <cell r="I72">
            <v>37165</v>
          </cell>
          <cell r="J72">
            <v>37072</v>
          </cell>
        </row>
        <row r="73">
          <cell r="A73">
            <v>71</v>
          </cell>
          <cell r="C73" t="str">
            <v>Динской</v>
          </cell>
          <cell r="D73" t="str">
            <v>Динская - Старомышастовская ;  км: 6+000-20+600 (на участке 12+000-17+000)</v>
          </cell>
          <cell r="F73" t="str">
            <v>Поверхностная обработка (II вариант)</v>
          </cell>
          <cell r="G73" t="str">
            <v>Район: Динской \ Динская - Старомышастовская ;  км: 6+000-20+600 (на участке 12+000-17+000) \ Поверхностная обработка (II вариант)</v>
          </cell>
          <cell r="H73">
            <v>36982</v>
          </cell>
          <cell r="I73">
            <v>37165</v>
          </cell>
          <cell r="J73">
            <v>37072</v>
          </cell>
        </row>
        <row r="74">
          <cell r="A74">
            <v>72</v>
          </cell>
          <cell r="C74" t="str">
            <v>Динской</v>
          </cell>
          <cell r="D74" t="str">
            <v>Новотитаровская - Копанской ;  км: 9+000-21+200 (на участке 9+000-14+000, 18+000-20+760)</v>
          </cell>
          <cell r="F74" t="str">
            <v>Поверхностная обработка (II вариант)</v>
          </cell>
          <cell r="G74" t="str">
            <v>Район: Динской \ Новотитаровская - Копанской ;  км: 9+000-21+200 (на участке 9+000-14+000, 18+000-20+760) \ Поверхностная обработка (II вариант)</v>
          </cell>
          <cell r="H74">
            <v>36982</v>
          </cell>
          <cell r="I74">
            <v>37165</v>
          </cell>
          <cell r="J74">
            <v>37072</v>
          </cell>
        </row>
        <row r="75">
          <cell r="A75">
            <v>73</v>
          </cell>
          <cell r="C75" t="str">
            <v>Динской</v>
          </cell>
          <cell r="D75" t="str">
            <v>Нововеличковская - Воронцовская ;  км: 0+000-1+200 ; 4+000-6+000 (на участке 4+000-6+000)</v>
          </cell>
          <cell r="F75" t="str">
            <v>Поверхностная обработка (II вариант)</v>
          </cell>
          <cell r="G75" t="str">
            <v>Район: Динской \ Нововеличковская - Воронцовская ;  км: 0+000-1+200 ; 4+000-6+000 (на участке 4+000-6+000) \ Поверхностная обработка (II вариант)</v>
          </cell>
          <cell r="H75">
            <v>36982</v>
          </cell>
          <cell r="I75">
            <v>37165</v>
          </cell>
          <cell r="J75">
            <v>37072</v>
          </cell>
        </row>
        <row r="76">
          <cell r="A76">
            <v>74</v>
          </cell>
          <cell r="C76" t="str">
            <v>Динской</v>
          </cell>
          <cell r="D76" t="str">
            <v>Пластуновская - Суворовское ;  км: 4+000-6+200</v>
          </cell>
          <cell r="F76" t="str">
            <v>Поверхностная обработка (II вариант)</v>
          </cell>
          <cell r="G76" t="str">
            <v>Район: Динской \ Пластуновская - Суворовское ;  км: 4+000-6+200 \ Поверхностная обработка (II вариант)</v>
          </cell>
          <cell r="H76">
            <v>36982</v>
          </cell>
          <cell r="I76">
            <v>37165</v>
          </cell>
          <cell r="J76">
            <v>37072</v>
          </cell>
        </row>
        <row r="77">
          <cell r="A77">
            <v>75</v>
          </cell>
          <cell r="C77" t="str">
            <v>Динской</v>
          </cell>
          <cell r="D77" t="str">
            <v>Динская - Васюринская ;  км: 8+000-9+400 ;</v>
          </cell>
          <cell r="F77" t="str">
            <v>Поверхностная обработка (II вариант)</v>
          </cell>
          <cell r="G77" t="str">
            <v>Район: Динской \ Динская - Васюринская ;  км: 8+000-9+400 ; \ Поверхностная обработка (II вариант)</v>
          </cell>
          <cell r="H77">
            <v>36982</v>
          </cell>
          <cell r="I77">
            <v>37165</v>
          </cell>
          <cell r="J77">
            <v>37072</v>
          </cell>
        </row>
        <row r="78">
          <cell r="A78">
            <v>76</v>
          </cell>
          <cell r="C78" t="str">
            <v>Динской</v>
          </cell>
          <cell r="D78" t="str">
            <v>Динская - Агроном ;  км: 5+000-6+500</v>
          </cell>
          <cell r="F78" t="str">
            <v>Поверхностная обработка (II вариант)</v>
          </cell>
          <cell r="G78" t="str">
            <v>Район: Динской \ Динская - Агроном ;  км: 5+000-6+500 \ Поверхностная обработка (II вариант)</v>
          </cell>
          <cell r="H78">
            <v>36982</v>
          </cell>
          <cell r="I78">
            <v>37165</v>
          </cell>
          <cell r="J78">
            <v>37072</v>
          </cell>
        </row>
        <row r="79">
          <cell r="A79">
            <v>77</v>
          </cell>
          <cell r="C79" t="str">
            <v>Динской</v>
          </cell>
          <cell r="D79" t="str">
            <v>Подъезд к п.Украинский ;  км: 0+000-3+300</v>
          </cell>
          <cell r="F79" t="str">
            <v>Поверхностная обработка (II вариант)</v>
          </cell>
          <cell r="G79" t="str">
            <v>Район: Динской \ Подъезд к п.Украинский ;  км: 0+000-3+300 \ Поверхностная обработка (II вариант)</v>
          </cell>
          <cell r="H79">
            <v>36982</v>
          </cell>
          <cell r="I79">
            <v>37165</v>
          </cell>
          <cell r="J79">
            <v>37072</v>
          </cell>
        </row>
        <row r="80">
          <cell r="A80">
            <v>78</v>
          </cell>
          <cell r="C80" t="str">
            <v>Динской</v>
          </cell>
          <cell r="D80" t="str">
            <v>Динская - Старомышастовская ;  км: 6+000-20+600 (на участке 6+000-12+000,17+000-20+600)</v>
          </cell>
          <cell r="F80" t="str">
            <v>Поверхностная обработка (II вариант)</v>
          </cell>
          <cell r="G80" t="str">
            <v>Район: Динской \ Динская - Старомышастовская ;  км: 6+000-20+600 (на участке 6+000-12+000,17+000-20+600) \ Поверхностная обработка (II вариант)</v>
          </cell>
          <cell r="H80">
            <v>36982</v>
          </cell>
          <cell r="I80">
            <v>37165</v>
          </cell>
          <cell r="J80">
            <v>37072</v>
          </cell>
        </row>
        <row r="81">
          <cell r="A81">
            <v>79</v>
          </cell>
          <cell r="C81" t="str">
            <v>Динской</v>
          </cell>
          <cell r="D81" t="str">
            <v>Динская - Пластуновская ;  км: 0+050 ; 1+700</v>
          </cell>
          <cell r="F81" t="str">
            <v>Устройство автопавильонов</v>
          </cell>
          <cell r="G81" t="str">
            <v>Район: Динской \ Динская - Пластуновская ;  км: 0+050 ; 1+700 \ Устройство автопавильонов</v>
          </cell>
          <cell r="H81">
            <v>36982</v>
          </cell>
          <cell r="I81">
            <v>37165</v>
          </cell>
          <cell r="J81">
            <v>37072</v>
          </cell>
        </row>
        <row r="82">
          <cell r="A82">
            <v>80</v>
          </cell>
          <cell r="C82" t="str">
            <v>Динской</v>
          </cell>
          <cell r="D82" t="str">
            <v>Динская - Агроном ;  км: 5+200</v>
          </cell>
          <cell r="F82" t="str">
            <v>Устройство автопавильонов</v>
          </cell>
          <cell r="G82" t="str">
            <v>Район: Динской \ Динская - Агроном ;  км: 5+200 \ Устройство автопавильонов</v>
          </cell>
          <cell r="H82">
            <v>36982</v>
          </cell>
          <cell r="I82">
            <v>37165</v>
          </cell>
          <cell r="J82">
            <v>37072</v>
          </cell>
        </row>
        <row r="83">
          <cell r="A83">
            <v>81</v>
          </cell>
          <cell r="C83" t="str">
            <v>Динской</v>
          </cell>
          <cell r="D83" t="str">
            <v>Динская - Старомышастовская ;  км: 12+500</v>
          </cell>
          <cell r="F83" t="str">
            <v>Устройство автопавильонов</v>
          </cell>
          <cell r="G83" t="str">
            <v>Район: Динской \ Динская - Старомышастовская ;  км: 12+500 \ Устройство автопавильонов</v>
          </cell>
          <cell r="H83">
            <v>36982</v>
          </cell>
          <cell r="I83">
            <v>37165</v>
          </cell>
          <cell r="J83">
            <v>37072</v>
          </cell>
        </row>
        <row r="84">
          <cell r="A84">
            <v>82</v>
          </cell>
          <cell r="C84" t="str">
            <v>Динской</v>
          </cell>
          <cell r="D84" t="str">
            <v>Новотитаровская - Копанской ;  км: 5+200 ; 15+800</v>
          </cell>
          <cell r="F84" t="str">
            <v>Устройство автопавильонов</v>
          </cell>
          <cell r="G84" t="str">
            <v>Район: Динской \ Новотитаровская - Копанской ;  км: 5+200 ; 15+800 \ Устройство автопавильонов</v>
          </cell>
          <cell r="H84">
            <v>36982</v>
          </cell>
          <cell r="I84">
            <v>37165</v>
          </cell>
          <cell r="J84">
            <v>37072</v>
          </cell>
        </row>
        <row r="85">
          <cell r="A85">
            <v>83</v>
          </cell>
          <cell r="C85" t="str">
            <v>Динской</v>
          </cell>
          <cell r="D85" t="str">
            <v>Калининская - Новотитаровская ;  км: 30+000-32+000</v>
          </cell>
          <cell r="F85" t="str">
            <v>Устройство тротуаров и пешеходных дорожек</v>
          </cell>
          <cell r="G85" t="str">
            <v>Район: Динской \ Калининская - Новотитаровская ;  км: 30+000-32+000 \ Устройство тротуаров и пешеходных дорожек</v>
          </cell>
          <cell r="H85">
            <v>36982</v>
          </cell>
          <cell r="I85">
            <v>37165</v>
          </cell>
          <cell r="J85">
            <v>37072</v>
          </cell>
        </row>
        <row r="86">
          <cell r="A86">
            <v>84</v>
          </cell>
          <cell r="C86" t="str">
            <v>Ейский</v>
          </cell>
          <cell r="D86" t="str">
            <v>Ейск - Ясенская - Новоминская ;  км: 30+000-41+200</v>
          </cell>
          <cell r="F86" t="str">
            <v>Поверхностная обработка (II вариант)</v>
          </cell>
          <cell r="G86" t="str">
            <v>Район: Ейский \ Ейск - Ясенская - Новоминская ;  км: 30+000-41+200 \ Поверхностная обработка (II вариант)</v>
          </cell>
          <cell r="H86">
            <v>36982</v>
          </cell>
          <cell r="I86">
            <v>37165</v>
          </cell>
          <cell r="J86">
            <v>37072</v>
          </cell>
        </row>
        <row r="87">
          <cell r="A87">
            <v>85</v>
          </cell>
          <cell r="C87" t="str">
            <v>Ейский</v>
          </cell>
          <cell r="D87" t="str">
            <v>Приазовка - Воронцовка - Должанская ;  км: 7+000-15+200</v>
          </cell>
          <cell r="F87" t="str">
            <v>Поверхностная обработка (II вариант)</v>
          </cell>
          <cell r="G87" t="str">
            <v>Район: Ейский \ Приазовка - Воронцовка - Должанская ;  км: 7+000-15+200 \ Поверхностная обработка (II вариант)</v>
          </cell>
          <cell r="H87">
            <v>36982</v>
          </cell>
          <cell r="I87">
            <v>37165</v>
          </cell>
          <cell r="J87">
            <v>37072</v>
          </cell>
        </row>
        <row r="88">
          <cell r="A88">
            <v>86</v>
          </cell>
          <cell r="C88" t="str">
            <v>Ейский</v>
          </cell>
          <cell r="D88" t="str">
            <v>Приазовка -Воронцовка-Должанская км 0+000-7+000</v>
          </cell>
          <cell r="F88" t="str">
            <v>Облегченный ремонт - III вариант</v>
          </cell>
          <cell r="G88" t="str">
            <v>Район: Ейский \ Приазовка -Воронцовка-Должанская км 0+000-7+000 \ Облегченный ремонт - III вариант</v>
          </cell>
          <cell r="H88">
            <v>36982</v>
          </cell>
          <cell r="I88">
            <v>37165</v>
          </cell>
          <cell r="J88">
            <v>37072</v>
          </cell>
        </row>
        <row r="89">
          <cell r="A89">
            <v>87</v>
          </cell>
          <cell r="C89" t="str">
            <v>Ейский</v>
          </cell>
          <cell r="D89" t="str">
            <v>Ейск - Ясенская - Новоминская ;  км: 1+000; 1+050; 11+100</v>
          </cell>
          <cell r="F89" t="str">
            <v>Устройство остановочных площадок</v>
          </cell>
          <cell r="G89" t="str">
            <v>Район: Ейский \ Ейск - Ясенская - Новоминская ;  км: 1+000; 1+050; 11+100 \ Устройство остановочных площадок</v>
          </cell>
          <cell r="H89">
            <v>36982</v>
          </cell>
          <cell r="I89">
            <v>37165</v>
          </cell>
          <cell r="J89">
            <v>37072</v>
          </cell>
        </row>
        <row r="90">
          <cell r="A90">
            <v>88</v>
          </cell>
          <cell r="C90" t="str">
            <v>Ейский</v>
          </cell>
          <cell r="D90" t="str">
            <v>Ясенская - Ясенская Переправа ;  км: 0+800</v>
          </cell>
          <cell r="F90" t="str">
            <v>Устройство остановочных площадок</v>
          </cell>
          <cell r="G90" t="str">
            <v>Район: Ейский \ Ясенская - Ясенская Переправа ;  км: 0+800 \ Устройство остановочных площадок</v>
          </cell>
          <cell r="H90">
            <v>36982</v>
          </cell>
          <cell r="I90">
            <v>37165</v>
          </cell>
          <cell r="J90">
            <v>37072</v>
          </cell>
        </row>
        <row r="91">
          <cell r="A91">
            <v>89</v>
          </cell>
          <cell r="C91" t="str">
            <v>Ейский</v>
          </cell>
          <cell r="D91" t="str">
            <v>Ейск - Ясенская - Новоминская ;  км: 1+000; 1+050; 11+100</v>
          </cell>
          <cell r="F91" t="str">
            <v>Устройство автопавильонов</v>
          </cell>
          <cell r="G91" t="str">
            <v>Район: Ейский \ Ейск - Ясенская - Новоминская ;  км: 1+000; 1+050; 11+100 \ Устройство автопавильонов</v>
          </cell>
          <cell r="H91">
            <v>36982</v>
          </cell>
          <cell r="I91">
            <v>37165</v>
          </cell>
          <cell r="J91">
            <v>37072</v>
          </cell>
        </row>
        <row r="92">
          <cell r="A92">
            <v>90</v>
          </cell>
          <cell r="C92" t="str">
            <v>Ейский</v>
          </cell>
          <cell r="D92" t="str">
            <v>Ясенская - Ясенская Переправа ;  км: 0+800</v>
          </cell>
          <cell r="F92" t="str">
            <v>Устройство автопавильонов</v>
          </cell>
          <cell r="G92" t="str">
            <v>Район: Ейский \ Ясенская - Ясенская Переправа ;  км: 0+800 \ Устройство автопавильонов</v>
          </cell>
          <cell r="H92">
            <v>36982</v>
          </cell>
          <cell r="I92">
            <v>37165</v>
          </cell>
          <cell r="J92">
            <v>37072</v>
          </cell>
        </row>
        <row r="93">
          <cell r="A93">
            <v>91</v>
          </cell>
          <cell r="C93" t="str">
            <v>Ейский</v>
          </cell>
          <cell r="D93" t="str">
            <v>Ейск - Ясенская - Новоминская ;  км: 0+600-1+700</v>
          </cell>
          <cell r="F93" t="str">
            <v>Устройство тротуаров и пешеходных дорожек</v>
          </cell>
          <cell r="G93" t="str">
            <v>Район: Ейский \ Ейск - Ясенская - Новоминская ;  км: 0+600-1+700 \ Устройство тротуаров и пешеходных дорожек</v>
          </cell>
          <cell r="H93">
            <v>36982</v>
          </cell>
          <cell r="I93">
            <v>37165</v>
          </cell>
          <cell r="J93">
            <v>37072</v>
          </cell>
        </row>
        <row r="94">
          <cell r="A94">
            <v>92</v>
          </cell>
          <cell r="C94" t="str">
            <v>Ейский</v>
          </cell>
          <cell r="D94" t="str">
            <v>Ейск - Ясенская - Новоминская ;  км: 11+000-11+850</v>
          </cell>
          <cell r="F94" t="str">
            <v>Устройство тротуаров и пешеходных дорожек</v>
          </cell>
          <cell r="G94" t="str">
            <v>Район: Ейский \ Ейск - Ясенская - Новоминская ;  км: 11+000-11+850 \ Устройство тротуаров и пешеходных дорожек</v>
          </cell>
          <cell r="H94">
            <v>36982</v>
          </cell>
          <cell r="I94">
            <v>37165</v>
          </cell>
          <cell r="J94">
            <v>37072</v>
          </cell>
        </row>
        <row r="95">
          <cell r="A95">
            <v>93</v>
          </cell>
          <cell r="C95" t="str">
            <v>Ейский</v>
          </cell>
          <cell r="D95" t="str">
            <v>Краснодар - Ейск ;  км: 221+700</v>
          </cell>
          <cell r="F95" t="str">
            <v>Архитектурно-художественное оформление элементов обустройства дорог</v>
          </cell>
          <cell r="G95" t="str">
            <v>Район: Ейский \ Краснодар - Ейск ;  км: 221+700 \ Архитектурно-художественное оформление элементов обустройства дорог</v>
          </cell>
          <cell r="H95">
            <v>36982</v>
          </cell>
          <cell r="I95">
            <v>37165</v>
          </cell>
          <cell r="J95">
            <v>37072</v>
          </cell>
        </row>
        <row r="96">
          <cell r="A96">
            <v>94</v>
          </cell>
          <cell r="C96" t="str">
            <v>Кавказский</v>
          </cell>
          <cell r="D96" t="str">
            <v>Кропоткин - Темижбекская - гр.Ставропольского края ;  км: 0+000-8+000</v>
          </cell>
          <cell r="F96" t="str">
            <v>Поверхностная обработка (II вариант)</v>
          </cell>
          <cell r="G96" t="str">
            <v>Район: Кавказский \ Кропоткин - Темижбекская - гр.Ставропольского края ;  км: 0+000-8+000 \ Поверхностная обработка (II вариант)</v>
          </cell>
          <cell r="H96">
            <v>36982</v>
          </cell>
          <cell r="I96">
            <v>37165</v>
          </cell>
          <cell r="J96">
            <v>37072</v>
          </cell>
        </row>
        <row r="97">
          <cell r="A97">
            <v>95</v>
          </cell>
          <cell r="C97" t="str">
            <v>Кавказский</v>
          </cell>
          <cell r="D97" t="str">
            <v>Кавказская - Новопокровская ;  км: 11+000-16+300</v>
          </cell>
          <cell r="F97" t="str">
            <v>Облегченный ремонт - III вариант</v>
          </cell>
          <cell r="G97" t="str">
            <v>Район: Кавказский \ Кавказская - Новопокровская ;  км: 11+000-16+300 \ Облегченный ремонт - III вариант</v>
          </cell>
          <cell r="H97">
            <v>36982</v>
          </cell>
          <cell r="I97">
            <v>37165</v>
          </cell>
          <cell r="J97">
            <v>37072</v>
          </cell>
        </row>
        <row r="98">
          <cell r="A98">
            <v>96</v>
          </cell>
          <cell r="C98" t="str">
            <v>Калининский</v>
          </cell>
          <cell r="D98" t="str">
            <v>Подъезд к с.Гришковское ;  км: 0+000-5+800</v>
          </cell>
          <cell r="F98" t="str">
            <v>Поверхностная обработка (II вариант)</v>
          </cell>
          <cell r="G98" t="str">
            <v>Район: Калининский \ Подъезд к с.Гришковское ;  км: 0+000-5+800 \ Поверхностная обработка (II вариант)</v>
          </cell>
          <cell r="H98">
            <v>36982</v>
          </cell>
          <cell r="I98">
            <v>37165</v>
          </cell>
          <cell r="J98">
            <v>37072</v>
          </cell>
        </row>
        <row r="99">
          <cell r="A99">
            <v>97</v>
          </cell>
          <cell r="C99" t="str">
            <v>Калининский</v>
          </cell>
          <cell r="D99" t="str">
            <v>Калининская - Новониколаевская ;  км: 11+000-17+800 ; 29+200-30+500</v>
          </cell>
          <cell r="F99" t="str">
            <v>Поверхностная обработка (II вариант)</v>
          </cell>
          <cell r="G99" t="str">
            <v>Район: Калининский \ Калининская - Новониколаевская ;  км: 11+000-17+800 ; 29+200-30+500 \ Поверхностная обработка (II вариант)</v>
          </cell>
          <cell r="H99">
            <v>36982</v>
          </cell>
          <cell r="I99">
            <v>37165</v>
          </cell>
          <cell r="J99">
            <v>37072</v>
          </cell>
        </row>
        <row r="100">
          <cell r="A100">
            <v>98</v>
          </cell>
          <cell r="C100" t="str">
            <v>Калининский</v>
          </cell>
          <cell r="D100" t="str">
            <v xml:space="preserve"> Нововеличковская-Долиновское ;  км: 10+170-12+560</v>
          </cell>
          <cell r="F100" t="str">
            <v>Поверхностная обработка (II вариант)</v>
          </cell>
          <cell r="G100" t="str">
            <v>Район: Калининский \  Нововеличковская-Долиновское ;  км: 10+170-12+560 \ Поверхностная обработка (II вариант)</v>
          </cell>
          <cell r="H100">
            <v>36982</v>
          </cell>
          <cell r="I100">
            <v>37165</v>
          </cell>
          <cell r="J100">
            <v>37072</v>
          </cell>
        </row>
        <row r="101">
          <cell r="A101">
            <v>99</v>
          </cell>
          <cell r="C101" t="str">
            <v>Калининский</v>
          </cell>
          <cell r="D101" t="str">
            <v>Калининская - Новониколаевская ;  км: 17+800-22+100 ; 30+500-32+500</v>
          </cell>
          <cell r="F101" t="str">
            <v>Поверхностная обработка (I вариант)</v>
          </cell>
          <cell r="G101" t="str">
            <v>Район: Калининский \ Калининская - Новониколаевская ;  км: 17+800-22+100 ; 30+500-32+500 \ Поверхностная обработка (I вариант)</v>
          </cell>
          <cell r="H101">
            <v>36982</v>
          </cell>
          <cell r="I101">
            <v>37165</v>
          </cell>
          <cell r="J101">
            <v>37072</v>
          </cell>
        </row>
        <row r="102">
          <cell r="A102">
            <v>100</v>
          </cell>
          <cell r="C102" t="str">
            <v>Калининский</v>
          </cell>
          <cell r="D102" t="str">
            <v>Тимашевск - Славянск-на-Кубани - Крымск ;  км: 28+000-33+000</v>
          </cell>
          <cell r="F102" t="str">
            <v>Облегченный ремонт - III вариант</v>
          </cell>
          <cell r="G102" t="str">
            <v>Район: Калининский \ Тимашевск - Славянск-на-Кубани - Крымск ;  км: 28+000-33+000 \ Облегченный ремонт - III вариант</v>
          </cell>
          <cell r="H102">
            <v>36982</v>
          </cell>
          <cell r="I102">
            <v>37165</v>
          </cell>
          <cell r="J102">
            <v>37072</v>
          </cell>
        </row>
        <row r="103">
          <cell r="A103">
            <v>101</v>
          </cell>
          <cell r="C103" t="str">
            <v>Калининский</v>
          </cell>
          <cell r="D103" t="str">
            <v>Тимашевск - Славянск-на-Кубани - Крымск ;  км: 26+900-27+300 (0,4 км)</v>
          </cell>
          <cell r="F103" t="str">
            <v>Устройство тротуаров и пешеходных дорожек</v>
          </cell>
          <cell r="G103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H103">
            <v>36982</v>
          </cell>
          <cell r="I103">
            <v>37165</v>
          </cell>
          <cell r="J103">
            <v>37072</v>
          </cell>
        </row>
        <row r="104">
          <cell r="A104">
            <v>102</v>
          </cell>
          <cell r="C104" t="str">
            <v>Калининский</v>
          </cell>
          <cell r="D104" t="str">
            <v>Обход ст.Калининская ;  км: 2+500-4+500 (2 км)</v>
          </cell>
          <cell r="F104" t="str">
            <v>Устройство тротуаров и пешеходных дорожек</v>
          </cell>
          <cell r="G104" t="str">
            <v>Район: Калининский \ Обход ст.Калининская ;  км: 2+500-4+500 (2 км) \ Устройство тротуаров и пешеходных дорожек</v>
          </cell>
          <cell r="H104">
            <v>36982</v>
          </cell>
          <cell r="I104">
            <v>37165</v>
          </cell>
          <cell r="J104">
            <v>37072</v>
          </cell>
        </row>
        <row r="105">
          <cell r="A105">
            <v>103</v>
          </cell>
          <cell r="C105" t="str">
            <v>Каневский</v>
          </cell>
          <cell r="D105" t="str">
            <v>Краснодар - Ейск ;  км: 137+000-152+000</v>
          </cell>
          <cell r="F105" t="str">
            <v>Поверхностная обработка (II вариант)</v>
          </cell>
          <cell r="G105" t="str">
            <v>Район: Каневский \ Краснодар - Ейск ;  км: 137+000-152+000 \ Поверхностная обработка (II вариант)</v>
          </cell>
          <cell r="H105">
            <v>36982</v>
          </cell>
          <cell r="I105">
            <v>37165</v>
          </cell>
          <cell r="J105">
            <v>37072</v>
          </cell>
        </row>
        <row r="106">
          <cell r="A106">
            <v>104</v>
          </cell>
          <cell r="C106" t="str">
            <v>Каневский</v>
          </cell>
          <cell r="D106" t="str">
            <v>Привольная - Каневская - Березанская ;  км: 53+000-68+000</v>
          </cell>
          <cell r="F106" t="str">
            <v>Поверхностная обработка (II вариант)</v>
          </cell>
          <cell r="G106" t="str">
            <v>Район: Каневский \ Привольная - Каневская - Березанская ;  км: 53+000-68+000 \ Поверхностная обработка (II вариант)</v>
          </cell>
          <cell r="H106">
            <v>36982</v>
          </cell>
          <cell r="I106">
            <v>37165</v>
          </cell>
          <cell r="J106">
            <v>37072</v>
          </cell>
        </row>
        <row r="107">
          <cell r="A107">
            <v>105</v>
          </cell>
          <cell r="C107" t="str">
            <v>Каневский</v>
          </cell>
          <cell r="D107" t="str">
            <v>Западный обход ст.Каневская ;  км: 0+000-13+900</v>
          </cell>
          <cell r="F107" t="str">
            <v>Поверхностная обработка (II вариант)</v>
          </cell>
          <cell r="G107" t="str">
            <v>Район: Каневский \ Западный обход ст.Каневская ;  км: 0+000-13+900 \ Поверхностная обработка (II вариант)</v>
          </cell>
          <cell r="H107">
            <v>36982</v>
          </cell>
          <cell r="I107">
            <v>37165</v>
          </cell>
          <cell r="J107">
            <v>37072</v>
          </cell>
        </row>
        <row r="108">
          <cell r="A108">
            <v>106</v>
          </cell>
          <cell r="C108" t="str">
            <v>Каневский</v>
          </cell>
          <cell r="D108" t="str">
            <v>Западный обход ст.Каневская км 13+200-13+900</v>
          </cell>
          <cell r="F108" t="str">
            <v>Устройство тротуаров и пешеходных дорожек</v>
          </cell>
          <cell r="G108" t="str">
            <v>Район: Каневский \ Западный обход ст.Каневская км 13+200-13+900 \ Устройство тротуаров и пешеходных дорожек</v>
          </cell>
          <cell r="H108">
            <v>36982</v>
          </cell>
          <cell r="I108">
            <v>37165</v>
          </cell>
          <cell r="J108">
            <v>37072</v>
          </cell>
        </row>
        <row r="109">
          <cell r="A109">
            <v>107</v>
          </cell>
          <cell r="C109" t="str">
            <v>Каневский</v>
          </cell>
          <cell r="D109" t="str">
            <v>Стародеревянковская-Новодеревянковская км 23+000-38+000</v>
          </cell>
          <cell r="F109" t="str">
            <v>Поверхностная обработка (II вариант)</v>
          </cell>
          <cell r="G109" t="str">
            <v>Район: Каневский \ Стародеревянковская-Новодеревянковская км 23+000-38+000 \ Поверхностная обработка (II вариант)</v>
          </cell>
          <cell r="H109">
            <v>36982</v>
          </cell>
          <cell r="I109">
            <v>37165</v>
          </cell>
          <cell r="J109">
            <v>37072</v>
          </cell>
        </row>
        <row r="110">
          <cell r="A110">
            <v>108</v>
          </cell>
          <cell r="C110" t="str">
            <v>Каневский</v>
          </cell>
          <cell r="D110" t="str">
            <v>Стародеревянковская - Новодеревянковская ;  км: 18+000-23+000</v>
          </cell>
          <cell r="F110" t="str">
            <v>Облегченный ремонт - III вариант</v>
          </cell>
          <cell r="G110" t="str">
            <v>Район: Каневский \ Стародеревянковская - Новодеревянковская ;  км: 18+000-23+000 \ Облегченный ремонт - III вариант</v>
          </cell>
          <cell r="H110">
            <v>36982</v>
          </cell>
          <cell r="I110">
            <v>37165</v>
          </cell>
          <cell r="J110">
            <v>37072</v>
          </cell>
        </row>
        <row r="111">
          <cell r="A111">
            <v>109</v>
          </cell>
          <cell r="C111" t="str">
            <v>Кореновский</v>
          </cell>
          <cell r="D111" t="str">
            <v>Кореновск - Бураковский ;  км: 0+000-10+200</v>
          </cell>
          <cell r="F111" t="str">
            <v>Поверхностная обработка (II вариант)</v>
          </cell>
          <cell r="G111" t="str">
            <v>Район: Кореновский \ Кореновск - Бураковский ;  км: 0+000-10+200 \ Поверхностная обработка (II вариант)</v>
          </cell>
          <cell r="H111">
            <v>36982</v>
          </cell>
          <cell r="I111">
            <v>37165</v>
          </cell>
          <cell r="J111">
            <v>37072</v>
          </cell>
        </row>
        <row r="112">
          <cell r="A112">
            <v>110</v>
          </cell>
          <cell r="C112" t="str">
            <v>Кореновский</v>
          </cell>
          <cell r="D112" t="str">
            <v>Подъезд к п.Пролетарский ;  км: 0+000-3+200 ; 3+500-5+000</v>
          </cell>
          <cell r="F112" t="str">
            <v>Поверхностная обработка (II вариант)</v>
          </cell>
          <cell r="G112" t="str">
            <v>Район: Кореновский \ Подъезд к п.Пролетарский ;  км: 0+000-3+200 ; 3+500-5+000 \ Поверхностная обработка (II вариант)</v>
          </cell>
          <cell r="H112">
            <v>36982</v>
          </cell>
          <cell r="I112">
            <v>37165</v>
          </cell>
          <cell r="J112">
            <v>37072</v>
          </cell>
        </row>
        <row r="113">
          <cell r="A113">
            <v>111</v>
          </cell>
          <cell r="C113" t="str">
            <v>Кореновский</v>
          </cell>
          <cell r="D113" t="str">
            <v>Подъезд к с.Братковское ;  км: 11+200-13+400</v>
          </cell>
          <cell r="F113" t="str">
            <v>Поверхностная обработка (II вариант)</v>
          </cell>
          <cell r="G113" t="str">
            <v>Район: Кореновский \ Подъезд к с.Братковское ;  км: 11+200-13+400 \ Поверхностная обработка (II вариант)</v>
          </cell>
          <cell r="H113">
            <v>36982</v>
          </cell>
          <cell r="I113">
            <v>37165</v>
          </cell>
          <cell r="J113">
            <v>37072</v>
          </cell>
        </row>
        <row r="114">
          <cell r="A114">
            <v>112</v>
          </cell>
          <cell r="C114" t="str">
            <v>Кореновский</v>
          </cell>
          <cell r="D114" t="str">
            <v>Подъезд к х.Левченко ;  км: 0+000-1+700</v>
          </cell>
          <cell r="F114" t="str">
            <v>Поверхностная обработка (II вариант)</v>
          </cell>
          <cell r="G114" t="str">
            <v>Район: Кореновский \ Подъезд к х.Левченко ;  км: 0+000-1+700 \ Поверхностная обработка (II вариант)</v>
          </cell>
          <cell r="H114">
            <v>36982</v>
          </cell>
          <cell r="I114">
            <v>37165</v>
          </cell>
          <cell r="J114">
            <v>37072</v>
          </cell>
        </row>
        <row r="115">
          <cell r="A115">
            <v>113</v>
          </cell>
          <cell r="C115" t="str">
            <v>Кореновский</v>
          </cell>
          <cell r="D115" t="str">
            <v>Подъезд к п.Пролетарский ;  км: 0+049; 2+204; 3+040; 3+600</v>
          </cell>
          <cell r="F115" t="str">
            <v>Устройство автопавильонов</v>
          </cell>
          <cell r="G115" t="str">
            <v>Район: Кореновский \ Подъезд к п.Пролетарский ;  км: 0+049; 2+204; 3+040; 3+600 \ Устройство автопавильонов</v>
          </cell>
          <cell r="H115">
            <v>36982</v>
          </cell>
          <cell r="I115">
            <v>37165</v>
          </cell>
          <cell r="J115">
            <v>37072</v>
          </cell>
        </row>
        <row r="116">
          <cell r="A116">
            <v>114</v>
          </cell>
          <cell r="C116" t="str">
            <v>Кореновский</v>
          </cell>
          <cell r="D116" t="str">
            <v>Подъезд к с.Братковское ;  км: 0+049</v>
          </cell>
          <cell r="F116" t="str">
            <v>Устройство автопавильонов</v>
          </cell>
          <cell r="G116" t="str">
            <v>Район: Кореновский \ Подъезд к с.Братковское ;  км: 0+049 \ Устройство автопавильонов</v>
          </cell>
          <cell r="H116">
            <v>36982</v>
          </cell>
          <cell r="I116">
            <v>37165</v>
          </cell>
          <cell r="J116">
            <v>37072</v>
          </cell>
        </row>
        <row r="117">
          <cell r="A117">
            <v>115</v>
          </cell>
          <cell r="C117" t="str">
            <v>Кореновский</v>
          </cell>
          <cell r="D117" t="str">
            <v>Подъезд к   п.Комсомольский ;  км: 6+100; 6+258</v>
          </cell>
          <cell r="F117" t="str">
            <v>Устройство автопавильонов</v>
          </cell>
          <cell r="G117" t="str">
            <v>Район: Кореновский \ Подъезд к   п.Комсомольский ;  км: 6+100; 6+258 \ Устройство автопавильонов</v>
          </cell>
          <cell r="H117">
            <v>36982</v>
          </cell>
          <cell r="I117">
            <v>37165</v>
          </cell>
          <cell r="J117">
            <v>37072</v>
          </cell>
        </row>
        <row r="118">
          <cell r="A118">
            <v>116</v>
          </cell>
          <cell r="C118" t="str">
            <v>Кореновский</v>
          </cell>
          <cell r="D118" t="str">
            <v>Кореновск - п.Мирный ;  км: 2+150</v>
          </cell>
          <cell r="F118" t="str">
            <v>Устройство автопавильонов</v>
          </cell>
          <cell r="G118" t="str">
            <v>Район: Кореновский \ Кореновск - п.Мирный ;  км: 2+150 \ Устройство автопавильонов</v>
          </cell>
          <cell r="H118">
            <v>36982</v>
          </cell>
          <cell r="I118">
            <v>37165</v>
          </cell>
          <cell r="J118">
            <v>37072</v>
          </cell>
        </row>
        <row r="119">
          <cell r="A119">
            <v>117</v>
          </cell>
          <cell r="C119" t="str">
            <v>Кореновский</v>
          </cell>
          <cell r="D119" t="str">
            <v>Подъезд к с.Братковское ;  км: 14+700-15+000</v>
          </cell>
          <cell r="F119" t="str">
            <v>Устройство тротуаров и пешеходных дорожек</v>
          </cell>
          <cell r="G119" t="str">
            <v>Район: Кореновский \ Подъезд к с.Братковское ;  км: 14+700-15+000 \ Устройство тротуаров и пешеходных дорожек</v>
          </cell>
          <cell r="H119">
            <v>36982</v>
          </cell>
          <cell r="I119">
            <v>37165</v>
          </cell>
          <cell r="J119">
            <v>37072</v>
          </cell>
        </row>
        <row r="120">
          <cell r="A120">
            <v>118</v>
          </cell>
          <cell r="C120" t="str">
            <v>Красноармейский</v>
          </cell>
          <cell r="D120" t="str">
            <v>Темрюк - Краснодар - Кропоткин ;  км: 104+700-107+000</v>
          </cell>
          <cell r="F120" t="str">
            <v>Поверхностная обработка (II вариант)</v>
          </cell>
          <cell r="G120" t="str">
            <v>Район: Красноармейский \ Темрюк - Краснодар - Кропоткин ;  км: 104+700-107+000 \ Поверхностная обработка (II вариант)</v>
          </cell>
          <cell r="H120">
            <v>36982</v>
          </cell>
          <cell r="I120">
            <v>37165</v>
          </cell>
          <cell r="J120">
            <v>37072</v>
          </cell>
        </row>
        <row r="121">
          <cell r="A121">
            <v>119</v>
          </cell>
          <cell r="C121" t="str">
            <v>Красноармейский</v>
          </cell>
          <cell r="D121" t="str">
            <v>Протоцкий-Васильченки ;  км: 1+850-2+400 ; 8+000-10+000</v>
          </cell>
          <cell r="F121" t="str">
            <v>Поверхностная обработка (II вариант)</v>
          </cell>
          <cell r="G121" t="str">
            <v>Район: Красноармейский \ Протоцкий-Васильченки ;  км: 1+850-2+400 ; 8+000-10+000 \ Поверхностная обработка (II вариант)</v>
          </cell>
          <cell r="H121">
            <v>36982</v>
          </cell>
          <cell r="I121">
            <v>37165</v>
          </cell>
          <cell r="J121">
            <v>37072</v>
          </cell>
        </row>
        <row r="122">
          <cell r="A122">
            <v>120</v>
          </cell>
          <cell r="C122" t="str">
            <v>Красноармейский</v>
          </cell>
          <cell r="D122" t="str">
            <v>Полтавская - Чебурголь - Гривенская ;  км: 5+700-12+950 ; 33+600-36+600</v>
          </cell>
          <cell r="F122" t="str">
            <v>Поверхностная обработка (II вариант)</v>
          </cell>
          <cell r="G122" t="str">
            <v>Район: Красноармейский \ Полтавская - Чебурголь - Гривенская ;  км: 5+700-12+950 ; 33+600-36+600 \ Поверхностная обработка (II вариант)</v>
          </cell>
          <cell r="H122">
            <v>36982</v>
          </cell>
          <cell r="I122">
            <v>37165</v>
          </cell>
          <cell r="J122">
            <v>37072</v>
          </cell>
        </row>
        <row r="123">
          <cell r="A123">
            <v>121</v>
          </cell>
          <cell r="C123" t="str">
            <v>Красноармейский</v>
          </cell>
          <cell r="D123" t="str">
            <v>Тимашевск - Славянск-на-Кубани - Крымск ;  км: 38+100-42+000</v>
          </cell>
          <cell r="F123" t="str">
            <v>Поверхностная обработка (II вариант)</v>
          </cell>
          <cell r="G123" t="str">
            <v>Район: Красноармейский \ Тимашевск - Славянск-на-Кубани - Крымск ;  км: 38+100-42+000 \ Поверхностная обработка (II вариант)</v>
          </cell>
          <cell r="H123">
            <v>36982</v>
          </cell>
          <cell r="I123">
            <v>37165</v>
          </cell>
          <cell r="J123">
            <v>37072</v>
          </cell>
        </row>
        <row r="124">
          <cell r="A124">
            <v>122</v>
          </cell>
          <cell r="C124" t="str">
            <v>Красноармейский</v>
          </cell>
          <cell r="D124" t="str">
            <v>Трудобеликовский - Ивановская пристань ;  км: 10+500-11+400</v>
          </cell>
          <cell r="F124" t="str">
            <v>Поверхностная обработка (II вариант)</v>
          </cell>
          <cell r="G124" t="str">
            <v>Район: Красноармейский \ Трудобеликовский - Ивановская пристань ;  км: 10+500-11+400 \ Поверхностная обработка (II вариант)</v>
          </cell>
          <cell r="H124">
            <v>36982</v>
          </cell>
          <cell r="I124">
            <v>37165</v>
          </cell>
          <cell r="J124">
            <v>37072</v>
          </cell>
        </row>
        <row r="125">
          <cell r="A125">
            <v>123</v>
          </cell>
          <cell r="C125" t="str">
            <v>Красноармейский</v>
          </cell>
          <cell r="D125" t="str">
            <v>Трудобеликовский - Ивановская пристань ;  км: 3+600-6+200</v>
          </cell>
          <cell r="F125" t="str">
            <v>Облегченный ремонт - III вариант</v>
          </cell>
          <cell r="G125" t="str">
            <v>Район: Красноармейский \ Трудобеликовский - Ивановская пристань ;  км: 3+600-6+200 \ Облегченный ремонт - III вариант</v>
          </cell>
          <cell r="H125">
            <v>36982</v>
          </cell>
          <cell r="I125">
            <v>37165</v>
          </cell>
          <cell r="J125">
            <v>37072</v>
          </cell>
        </row>
        <row r="126">
          <cell r="A126">
            <v>124</v>
          </cell>
          <cell r="C126" t="str">
            <v>Красноармейский</v>
          </cell>
          <cell r="D126" t="str">
            <v>Темрюк - Краснодар - Кропоткин ;  км: 65+100</v>
          </cell>
          <cell r="F126" t="str">
            <v>Устройство переходно-скоростных полос</v>
          </cell>
          <cell r="G126" t="str">
            <v>Район: Красноармейский \ Темрюк - Краснодар - Кропоткин ;  км: 65+100 \ Устройство переходно-скоростных полос</v>
          </cell>
          <cell r="H126">
            <v>36982</v>
          </cell>
          <cell r="I126">
            <v>37165</v>
          </cell>
          <cell r="J126">
            <v>37072</v>
          </cell>
        </row>
        <row r="127">
          <cell r="A127">
            <v>125</v>
          </cell>
          <cell r="C127" t="str">
            <v>Красноармейский</v>
          </cell>
          <cell r="D127" t="str">
            <v>Подъезд к ж/д ст.Полтавская ;  км: 2+150</v>
          </cell>
          <cell r="F127" t="str">
            <v>Ремонт покрытия на съездах</v>
          </cell>
          <cell r="G127" t="str">
            <v>Район: Красноармейский \ Подъезд к ж/д ст.Полтавская ;  км: 2+150 \ Ремонт покрытия на съездах</v>
          </cell>
          <cell r="H127">
            <v>36982</v>
          </cell>
          <cell r="I127">
            <v>37165</v>
          </cell>
          <cell r="J127">
            <v>37072</v>
          </cell>
        </row>
        <row r="128">
          <cell r="A128">
            <v>126</v>
          </cell>
          <cell r="C128" t="str">
            <v>Красноармейский</v>
          </cell>
          <cell r="D128" t="str">
            <v>Полтавская - Чебурголь - Гривенская ;  км: 1+950</v>
          </cell>
          <cell r="F128" t="str">
            <v>Ремонт покрытия на съездах</v>
          </cell>
          <cell r="G128" t="str">
            <v>Район: Красноармейский \ Полтавская - Чебурголь - Гривенская ;  км: 1+950 \ Ремонт покрытия на съездах</v>
          </cell>
          <cell r="H128">
            <v>36982</v>
          </cell>
          <cell r="I128">
            <v>37165</v>
          </cell>
          <cell r="J128">
            <v>37072</v>
          </cell>
        </row>
        <row r="129">
          <cell r="A129">
            <v>127</v>
          </cell>
          <cell r="C129" t="str">
            <v>Красноармейский</v>
          </cell>
          <cell r="D129" t="str">
            <v>Подъезд к ж/д ст.Полтавская ;  км: 0+650</v>
          </cell>
          <cell r="F129" t="str">
            <v>Ремонт покрытия на съездах</v>
          </cell>
          <cell r="G129" t="str">
            <v>Район: Красноармейский \ Подъезд к ж/д ст.Полтавская ;  км: 0+650 \ Ремонт покрытия на съездах</v>
          </cell>
          <cell r="H129">
            <v>36982</v>
          </cell>
          <cell r="I129">
            <v>37165</v>
          </cell>
          <cell r="J129">
            <v>37072</v>
          </cell>
        </row>
        <row r="130">
          <cell r="A130">
            <v>128</v>
          </cell>
          <cell r="C130" t="str">
            <v>Красноармейский</v>
          </cell>
          <cell r="D130" t="str">
            <v>Трудобеликовский - Полтавская - Гривенская ;  км: 9+900</v>
          </cell>
          <cell r="F130" t="str">
            <v>Ремонт покрытия на съездах</v>
          </cell>
          <cell r="G130" t="str">
            <v>Район: Красноармейский \ Трудобеликовский - Полтавская - Гривенская ;  км: 9+900 \ Ремонт покрытия на съездах</v>
          </cell>
          <cell r="H130">
            <v>36982</v>
          </cell>
          <cell r="I130">
            <v>37165</v>
          </cell>
          <cell r="J130">
            <v>37072</v>
          </cell>
        </row>
        <row r="131">
          <cell r="A131">
            <v>129</v>
          </cell>
          <cell r="C131" t="str">
            <v>Красноармейский</v>
          </cell>
          <cell r="D131" t="str">
            <v>Темрюк - Краснодар - Кропоткин ;  км: 64+700-120+000</v>
          </cell>
          <cell r="F131" t="str">
            <v>Устройство съездов с твердым покрытием</v>
          </cell>
          <cell r="G131" t="str">
            <v>Район: Красноармейский \ Темрюк - Краснодар - Кропоткин ;  км: 64+700-120+000 \ Устройство съездов с твердым покрытием</v>
          </cell>
          <cell r="H131">
            <v>36982</v>
          </cell>
          <cell r="I131">
            <v>37165</v>
          </cell>
          <cell r="J131">
            <v>37072</v>
          </cell>
        </row>
        <row r="132">
          <cell r="A132">
            <v>130</v>
          </cell>
          <cell r="C132" t="str">
            <v>Красноармейский</v>
          </cell>
          <cell r="D132" t="str">
            <v>Тимашевск - Славянск-на-Кубани - Крымск ;  км: 38+100-87+506</v>
          </cell>
          <cell r="F132" t="str">
            <v>Устройство съездов с твердым покрытием</v>
          </cell>
          <cell r="G132" t="str">
            <v>Район: Красноармейский \ Тимашевск - Славянск-на-Кубани - Крымск ;  км: 38+100-87+506 \ Устройство съездов с твердым покрытием</v>
          </cell>
          <cell r="H132">
            <v>36982</v>
          </cell>
          <cell r="I132">
            <v>37165</v>
          </cell>
          <cell r="J132">
            <v>37072</v>
          </cell>
        </row>
        <row r="133">
          <cell r="A133">
            <v>131</v>
          </cell>
          <cell r="C133" t="str">
            <v>Красноармейский</v>
          </cell>
          <cell r="D133" t="str">
            <v>Тимашевск - Славянск-на-Кубани - Крымск ;  км: 68+500</v>
          </cell>
          <cell r="F133" t="str">
            <v>Ремонт остановочных площадок</v>
          </cell>
          <cell r="G133" t="str">
            <v>Район: Красноармейский \ Тимашевск - Славянск-на-Кубани - Крымск ;  км: 68+500 \ Ремонт остановочных площадок</v>
          </cell>
          <cell r="H133">
            <v>36982</v>
          </cell>
          <cell r="I133">
            <v>37165</v>
          </cell>
          <cell r="J133">
            <v>37072</v>
          </cell>
        </row>
        <row r="134">
          <cell r="A134">
            <v>132</v>
          </cell>
          <cell r="C134" t="str">
            <v>Красноармейский</v>
          </cell>
          <cell r="D134" t="str">
            <v>Новомышастовская - Федоровский гидроузел ;  км: 0+100</v>
          </cell>
          <cell r="F134" t="str">
            <v>Ремонт остановочных площадок</v>
          </cell>
          <cell r="G134" t="str">
            <v>Район: Красноармейский \ Новомышастовская - Федоровский гидроузел ;  км: 0+100 \ Ремонт остановочных площадок</v>
          </cell>
          <cell r="H134">
            <v>36982</v>
          </cell>
          <cell r="I134">
            <v>37165</v>
          </cell>
          <cell r="J134">
            <v>37072</v>
          </cell>
        </row>
        <row r="135">
          <cell r="A135">
            <v>133</v>
          </cell>
          <cell r="C135" t="str">
            <v>Красноармейский</v>
          </cell>
          <cell r="D135" t="str">
            <v>Темрюк - Краснодар - Кропоткин ;  км: 88+500-89+500</v>
          </cell>
          <cell r="F135" t="str">
            <v>Ремонт тротуаров и пешеходных дорожек</v>
          </cell>
          <cell r="G135" t="str">
            <v>Район: Красноармейский \ Темрюк - Краснодар - Кропоткин ;  км: 88+500-89+500 \ Ремонт тротуаров и пешеходных дорожек</v>
          </cell>
          <cell r="H135">
            <v>36982</v>
          </cell>
          <cell r="I135">
            <v>37165</v>
          </cell>
          <cell r="J135">
            <v>37072</v>
          </cell>
        </row>
        <row r="136">
          <cell r="A136">
            <v>134</v>
          </cell>
          <cell r="C136" t="str">
            <v>Красноармейский</v>
          </cell>
          <cell r="D136" t="str">
            <v>Тимашевск - Славянск-на-Кубани - Крымск ;  км: 50+200-50+600</v>
          </cell>
          <cell r="F136" t="str">
            <v>Ремонт тротуаров и пешеходных дорожек</v>
          </cell>
          <cell r="G136" t="str">
            <v>Район: Красноармейский \ Тимашевск - Славянск-на-Кубани - Крымск ;  км: 50+200-50+600 \ Ремонт тротуаров и пешеходных дорожек</v>
          </cell>
          <cell r="H136">
            <v>36982</v>
          </cell>
          <cell r="I136">
            <v>37165</v>
          </cell>
          <cell r="J136">
            <v>37072</v>
          </cell>
        </row>
        <row r="137">
          <cell r="A137">
            <v>135</v>
          </cell>
          <cell r="C137" t="str">
            <v>Крыловский</v>
          </cell>
          <cell r="D137" t="str">
            <v>Темп - Решитиловский ;  км: 0+000-25+300</v>
          </cell>
          <cell r="F137" t="str">
            <v>Поверхностная обработка (II вариант)</v>
          </cell>
          <cell r="G137" t="str">
            <v>Район: Крыловский \ Темп - Решитиловский ;  км: 0+000-25+300 \ Поверхностная обработка (II вариант)</v>
          </cell>
          <cell r="H137">
            <v>36982</v>
          </cell>
          <cell r="I137">
            <v>37165</v>
          </cell>
          <cell r="J137">
            <v>37072</v>
          </cell>
        </row>
        <row r="138">
          <cell r="A138">
            <v>136</v>
          </cell>
          <cell r="C138" t="str">
            <v>Крыловский</v>
          </cell>
          <cell r="D138" t="str">
            <v>Крыловская - Новопашковское - Тверской ;  км: 3+000-6+400 ; 23+500-26+900</v>
          </cell>
          <cell r="F138" t="str">
            <v>Поверхностная обработка (II вариант)</v>
          </cell>
          <cell r="G138" t="str">
            <v>Район: Крыловский \ Крыловская - Новопашковское - Тверской ;  км: 3+000-6+400 ; 23+500-26+900 \ Поверхностная обработка (II вариант)</v>
          </cell>
          <cell r="H138">
            <v>36982</v>
          </cell>
          <cell r="I138">
            <v>37165</v>
          </cell>
          <cell r="J138">
            <v>37072</v>
          </cell>
        </row>
        <row r="139">
          <cell r="A139">
            <v>137</v>
          </cell>
          <cell r="C139" t="str">
            <v>Крымский</v>
          </cell>
          <cell r="D139" t="str">
            <v>Тимашевск-Славянск-Крымск км 109+800-112+250,112+800-114+000</v>
          </cell>
          <cell r="F139" t="str">
            <v>Устройство ограждения</v>
          </cell>
          <cell r="G139" t="str">
            <v>Район: Крымский \ Тимашевск-Славянск-Крымск км 109+800-112+250,112+800-114+000 \ Устройство ограждения</v>
          </cell>
          <cell r="H139">
            <v>36982</v>
          </cell>
          <cell r="I139">
            <v>37165</v>
          </cell>
          <cell r="J139">
            <v>37072</v>
          </cell>
        </row>
        <row r="140">
          <cell r="A140">
            <v>138</v>
          </cell>
          <cell r="C140" t="str">
            <v>Крымский</v>
          </cell>
          <cell r="D140" t="str">
            <v>Андреева Гора-Варениковская-Анапа км 9+500-10+575</v>
          </cell>
          <cell r="F140" t="str">
            <v>Устройство ограждения</v>
          </cell>
          <cell r="G140" t="str">
            <v>Район: Крымский \ Андреева Гора-Варениковская-Анапа км 9+500-10+575 \ Устройство ограждения</v>
          </cell>
          <cell r="H140">
            <v>36982</v>
          </cell>
          <cell r="I140">
            <v>37165</v>
          </cell>
          <cell r="J140">
            <v>37072</v>
          </cell>
        </row>
        <row r="141">
          <cell r="A141">
            <v>139</v>
          </cell>
          <cell r="C141" t="str">
            <v>Крымский</v>
          </cell>
          <cell r="D141" t="str">
            <v>Подъезд к х.Адагум, км 0+000 - км 3+490</v>
          </cell>
          <cell r="F141" t="str">
            <v>Поверхностная обработка (II вариант)</v>
          </cell>
          <cell r="G141" t="str">
            <v>Район: Крымский \ Подъезд к х.Адагум, км 0+000 - км 3+490 \ Поверхностная обработка (II вариант)</v>
          </cell>
          <cell r="H141">
            <v>36982</v>
          </cell>
          <cell r="I141">
            <v>37165</v>
          </cell>
          <cell r="J141">
            <v>37072</v>
          </cell>
        </row>
        <row r="142">
          <cell r="A142">
            <v>140</v>
          </cell>
          <cell r="C142" t="str">
            <v>Крымский</v>
          </cell>
          <cell r="D142" t="str">
            <v>Подъезд к Богогоевскому карьеру, км 0+000 - км 5+220</v>
          </cell>
          <cell r="F142" t="str">
            <v>Поверхностная обработка (II вариант)</v>
          </cell>
          <cell r="G142" t="str">
            <v>Район: Крымский \ Подъезд к Богогоевскому карьеру, км 0+000 - км 5+220 \ Поверхностная обработка (II вариант)</v>
          </cell>
          <cell r="H142">
            <v>36982</v>
          </cell>
          <cell r="I142">
            <v>37165</v>
          </cell>
          <cell r="J142">
            <v>37072</v>
          </cell>
        </row>
        <row r="143">
          <cell r="A143">
            <v>141</v>
          </cell>
          <cell r="C143" t="str">
            <v>Крымский</v>
          </cell>
          <cell r="D143" t="str">
            <v>Крымск - Аккерменка ;  км: 18+300-24+000</v>
          </cell>
          <cell r="F143" t="str">
            <v>Капитальный ремонт с усилением дорожной одежды</v>
          </cell>
          <cell r="G143" t="str">
            <v>Район: Крымский \ Крымск - Аккерменка ;  км: 18+300-24+000 \ Капитальный ремонт с усилением дорожной одежды</v>
          </cell>
          <cell r="H143">
            <v>36982</v>
          </cell>
          <cell r="I143">
            <v>37165</v>
          </cell>
          <cell r="J143">
            <v>37072</v>
          </cell>
        </row>
        <row r="144">
          <cell r="A144">
            <v>142</v>
          </cell>
          <cell r="C144" t="str">
            <v>Курганинский</v>
          </cell>
          <cell r="D144" t="str">
            <v>Усть-Лабинск - Лабинск - Упорная ;  км: 85+000-93+300</v>
          </cell>
          <cell r="F144" t="str">
            <v>Поверхностная обработка (II вариант)</v>
          </cell>
          <cell r="G144" t="str">
            <v>Район: Курганинский \ Усть-Лабинск - Лабинск - Упорная ;  км: 85+000-93+300 \ Поверхностная обработка (II вариант)</v>
          </cell>
          <cell r="H144">
            <v>36982</v>
          </cell>
          <cell r="I144">
            <v>37165</v>
          </cell>
          <cell r="J144">
            <v>37072</v>
          </cell>
        </row>
        <row r="145">
          <cell r="A145">
            <v>143</v>
          </cell>
          <cell r="C145" t="str">
            <v>Курганинский</v>
          </cell>
          <cell r="D145" t="str">
            <v>Усть-Лабинск -Лабинск-Упорная ;  км: 60+000-63+500</v>
          </cell>
          <cell r="F145" t="str">
            <v>Поверхностная обработка (II вариант)</v>
          </cell>
          <cell r="G145" t="str">
            <v>Район: Курганинский \ Усть-Лабинск -Лабинск-Упорная ;  км: 60+000-63+500 \ Поверхностная обработка (II вариант)</v>
          </cell>
          <cell r="H145">
            <v>36982</v>
          </cell>
          <cell r="I145">
            <v>37165</v>
          </cell>
          <cell r="J145">
            <v>37072</v>
          </cell>
        </row>
        <row r="146">
          <cell r="A146">
            <v>144</v>
          </cell>
          <cell r="C146" t="str">
            <v>Курганинский</v>
          </cell>
          <cell r="D146" t="str">
            <v>Михайловская-Южный ;  км: 0+000-2+200</v>
          </cell>
          <cell r="F146" t="str">
            <v>Поверхностная обработка (II вариант)</v>
          </cell>
          <cell r="G146" t="str">
            <v>Район: Курганинский \ Михайловская-Южный ;  км: 0+000-2+200 \ Поверхностная обработка (II вариант)</v>
          </cell>
          <cell r="H146">
            <v>36982</v>
          </cell>
          <cell r="I146">
            <v>37165</v>
          </cell>
          <cell r="J146">
            <v>37072</v>
          </cell>
        </row>
        <row r="147">
          <cell r="A147">
            <v>145</v>
          </cell>
          <cell r="C147" t="str">
            <v>Курганинский</v>
          </cell>
          <cell r="D147" t="str">
            <v>Усть-Лабинск - Лабинск - Упорная ;  км: 93+300-100+300 (на участке 93+300-96+300)</v>
          </cell>
          <cell r="F147" t="str">
            <v>Облегченный ремонт - III вариант</v>
          </cell>
          <cell r="G147" t="str">
            <v>Район: Курганинский \ Усть-Лабинск - Лабинск - Упорная ;  км: 93+300-100+300 (на участке 93+300-96+300) \ Облегченный ремонт - III вариант</v>
          </cell>
          <cell r="H147">
            <v>36982</v>
          </cell>
          <cell r="I147">
            <v>37165</v>
          </cell>
          <cell r="J147">
            <v>37072</v>
          </cell>
        </row>
        <row r="148">
          <cell r="A148">
            <v>146</v>
          </cell>
          <cell r="C148" t="str">
            <v>Курганинский</v>
          </cell>
          <cell r="D148" t="str">
            <v>Усть-Лабинск - Лабинск - Упорная ;  км: 100+300-101+940</v>
          </cell>
          <cell r="F148" t="str">
            <v>Уширение земполотна и проезжей части (комплекс)</v>
          </cell>
          <cell r="G148" t="str">
            <v>Район: Курганинский \ Усть-Лабинск - Лабинск - Упорная ;  км: 100+300-101+940 \ Уширение земполотна и проезжей части (комплекс)</v>
          </cell>
          <cell r="H148">
            <v>36982</v>
          </cell>
          <cell r="I148">
            <v>37165</v>
          </cell>
          <cell r="J148">
            <v>37072</v>
          </cell>
        </row>
        <row r="149">
          <cell r="A149">
            <v>147</v>
          </cell>
          <cell r="C149" t="str">
            <v>Курганинский</v>
          </cell>
          <cell r="D149" t="str">
            <v>Родниковская - Новоалексеевская ;  км: 0+200 ; 2+457</v>
          </cell>
          <cell r="F149" t="str">
            <v>Ремонт водопропускных труб</v>
          </cell>
          <cell r="G149" t="str">
            <v>Район: Курганинский \ Родниковская - Новоалексеевская ;  км: 0+200 ; 2+457 \ Ремонт водопропускных труб</v>
          </cell>
          <cell r="H149">
            <v>36982</v>
          </cell>
          <cell r="I149">
            <v>37165</v>
          </cell>
          <cell r="J149">
            <v>37072</v>
          </cell>
        </row>
        <row r="150">
          <cell r="A150">
            <v>148</v>
          </cell>
          <cell r="C150" t="str">
            <v>Курганинский</v>
          </cell>
          <cell r="D150" t="str">
            <v>Михайловская - Южный ;  км: 0+020</v>
          </cell>
          <cell r="F150" t="str">
            <v>Ремонт водопропускных труб</v>
          </cell>
          <cell r="G150" t="str">
            <v>Район: Курганинский \ Михайловская - Южный ;  км: 0+020 \ Ремонт водопропускных труб</v>
          </cell>
          <cell r="H150">
            <v>36982</v>
          </cell>
          <cell r="I150">
            <v>37165</v>
          </cell>
          <cell r="J150">
            <v>37072</v>
          </cell>
        </row>
        <row r="151">
          <cell r="A151">
            <v>149</v>
          </cell>
          <cell r="C151" t="str">
            <v>Курганинский</v>
          </cell>
          <cell r="D151" t="str">
            <v>Армавир - Курганинск ;  км: 31+950</v>
          </cell>
          <cell r="F151" t="str">
            <v>Ремонт водопропускных труб</v>
          </cell>
          <cell r="G151" t="str">
            <v>Район: Курганинский \ Армавир - Курганинск ;  км: 31+950 \ Ремонт водопропускных труб</v>
          </cell>
          <cell r="H151">
            <v>36982</v>
          </cell>
          <cell r="I151">
            <v>37165</v>
          </cell>
          <cell r="J151">
            <v>37072</v>
          </cell>
        </row>
        <row r="152">
          <cell r="A152">
            <v>150</v>
          </cell>
          <cell r="C152" t="str">
            <v>Курганинский</v>
          </cell>
          <cell r="D152" t="str">
            <v>Подъезд к г.Курганинск ;  км: 0+300; 1+750</v>
          </cell>
          <cell r="F152" t="str">
            <v>Ремонт водопропускных труб</v>
          </cell>
          <cell r="G152" t="str">
            <v>Район: Курганинский \ Подъезд к г.Курганинск ;  км: 0+300; 1+750 \ Ремонт водопропускных труб</v>
          </cell>
          <cell r="H152">
            <v>36982</v>
          </cell>
          <cell r="I152">
            <v>37165</v>
          </cell>
          <cell r="J152">
            <v>37072</v>
          </cell>
        </row>
        <row r="153">
          <cell r="A153">
            <v>151</v>
          </cell>
          <cell r="C153" t="str">
            <v>Кущевский</v>
          </cell>
          <cell r="D153" t="str">
            <v>Подъезд к    п.Первомайский ;  км: 6+000-7+700</v>
          </cell>
          <cell r="F153" t="str">
            <v>Поверхностная обработка (II вариант)</v>
          </cell>
          <cell r="G153" t="str">
            <v>Район: Кущевский \ Подъезд к    п.Первомайский ;  км: 6+000-7+700 \ Поверхностная обработка (II вариант)</v>
          </cell>
          <cell r="H153">
            <v>36982</v>
          </cell>
          <cell r="I153">
            <v>37165</v>
          </cell>
          <cell r="J153">
            <v>37072</v>
          </cell>
        </row>
        <row r="154">
          <cell r="A154">
            <v>152</v>
          </cell>
          <cell r="C154" t="str">
            <v>Кущевский</v>
          </cell>
          <cell r="D154" t="str">
            <v>Красное - Средние Чубурки ;  км: 0+000-6+000 ; 17+000-20+900</v>
          </cell>
          <cell r="F154" t="str">
            <v>Поверхностная обработка (II вариант)</v>
          </cell>
          <cell r="G154" t="str">
            <v>Район: Кущевский \ Красное - Средние Чубурки ;  км: 0+000-6+000 ; 17+000-20+900 \ Поверхностная обработка (II вариант)</v>
          </cell>
          <cell r="H154">
            <v>36982</v>
          </cell>
          <cell r="I154">
            <v>37165</v>
          </cell>
          <cell r="J154">
            <v>37072</v>
          </cell>
        </row>
        <row r="155">
          <cell r="A155">
            <v>153</v>
          </cell>
          <cell r="C155" t="str">
            <v>Кущевский</v>
          </cell>
          <cell r="D155" t="str">
            <v>Подъезд к  п.Комсомольский ;  км: 0+000-14+700</v>
          </cell>
          <cell r="F155" t="str">
            <v>Поверхностная обработка (II вариант)</v>
          </cell>
          <cell r="G155" t="str">
            <v>Район: Кущевский \ Подъезд к  п.Комсомольский ;  км: 0+000-14+700 \ Поверхностная обработка (II вариант)</v>
          </cell>
          <cell r="H155">
            <v>36982</v>
          </cell>
          <cell r="I155">
            <v>37165</v>
          </cell>
          <cell r="J155">
            <v>37072</v>
          </cell>
        </row>
        <row r="156">
          <cell r="A156">
            <v>154</v>
          </cell>
          <cell r="C156" t="str">
            <v>Кущевский</v>
          </cell>
          <cell r="D156" t="str">
            <v>Алексеевская - Полтавченское ;  км: 3+500-5+000</v>
          </cell>
          <cell r="F156" t="str">
            <v>Поверхностная обработка (II вариант)</v>
          </cell>
          <cell r="G156" t="str">
            <v>Район: Кущевский \ Алексеевская - Полтавченское ;  км: 3+500-5+000 \ Поверхностная обработка (II вариант)</v>
          </cell>
          <cell r="H156">
            <v>36982</v>
          </cell>
          <cell r="I156">
            <v>37165</v>
          </cell>
          <cell r="J156">
            <v>37072</v>
          </cell>
        </row>
        <row r="157">
          <cell r="A157">
            <v>155</v>
          </cell>
          <cell r="C157" t="str">
            <v>Кущевский</v>
          </cell>
          <cell r="D157" t="str">
            <v>Подъезд к х.Глебовка ;  км: 0+000-15+000</v>
          </cell>
          <cell r="F157" t="str">
            <v>Поверхностная обработка (II вариант)</v>
          </cell>
          <cell r="G157" t="str">
            <v>Район: Кущевский \ Подъезд к х.Глебовка ;  км: 0+000-15+000 \ Поверхностная обработка (II вариант)</v>
          </cell>
          <cell r="H157">
            <v>36982</v>
          </cell>
          <cell r="I157">
            <v>37165</v>
          </cell>
          <cell r="J157">
            <v>37072</v>
          </cell>
        </row>
        <row r="158">
          <cell r="A158">
            <v>156</v>
          </cell>
          <cell r="C158" t="str">
            <v>Кущевский</v>
          </cell>
          <cell r="D158" t="str">
            <v>Подъезд к ХПП ;  км: 1+200-4+900</v>
          </cell>
          <cell r="F158" t="str">
            <v>Облегченный ремонт - III вариант</v>
          </cell>
          <cell r="G158" t="str">
            <v>Район: Кущевский \ Подъезд к ХПП ;  км: 1+200-4+900 \ Облегченный ремонт - III вариант</v>
          </cell>
          <cell r="H158">
            <v>36982</v>
          </cell>
          <cell r="I158">
            <v>37165</v>
          </cell>
          <cell r="J158">
            <v>37072</v>
          </cell>
        </row>
        <row r="159">
          <cell r="A159">
            <v>157</v>
          </cell>
          <cell r="C159" t="str">
            <v>Ленинградский</v>
          </cell>
          <cell r="D159" t="str">
            <v>Новоплатнировская - Ленинградская - Павловская ;  км: 3+820-11+260</v>
          </cell>
          <cell r="F159" t="str">
            <v>Поверхностная обработка (II вариант)</v>
          </cell>
          <cell r="G159" t="str">
            <v>Район: Ленинградский \ Новоплатнировская - Ленинградская - Павловская ;  км: 3+820-11+260 \ Поверхностная обработка (II вариант)</v>
          </cell>
          <cell r="H159">
            <v>36982</v>
          </cell>
          <cell r="I159">
            <v>37165</v>
          </cell>
          <cell r="J159">
            <v>37072</v>
          </cell>
        </row>
        <row r="160">
          <cell r="A160">
            <v>158</v>
          </cell>
          <cell r="C160" t="str">
            <v>Ленинградский</v>
          </cell>
          <cell r="D160" t="str">
            <v>Образцовый - Новоплатнировская - Крыловская ;  км: 0+000-10+150</v>
          </cell>
          <cell r="F160" t="str">
            <v>Поверхностная обработка (II вариант)</v>
          </cell>
          <cell r="G160" t="str">
            <v>Район: Ленинградский \ Образцовый - Новоплатнировская - Крыловская ;  км: 0+000-10+150 \ Поверхностная обработка (II вариант)</v>
          </cell>
          <cell r="H160">
            <v>36982</v>
          </cell>
          <cell r="I160">
            <v>37165</v>
          </cell>
          <cell r="J160">
            <v>37072</v>
          </cell>
        </row>
        <row r="161">
          <cell r="A161">
            <v>159</v>
          </cell>
          <cell r="C161" t="str">
            <v>Ленинградский</v>
          </cell>
          <cell r="D161" t="str">
            <v>Подъезд к х.Западный ;  км: 0+000-4+300</v>
          </cell>
          <cell r="F161" t="str">
            <v>Поверхностная обработка (II вариант)</v>
          </cell>
          <cell r="G161" t="str">
            <v>Район: Ленинградский \ Подъезд к х.Западный ;  км: 0+000-4+300 \ Поверхностная обработка (II вариант)</v>
          </cell>
          <cell r="H161">
            <v>36982</v>
          </cell>
          <cell r="I161">
            <v>37165</v>
          </cell>
          <cell r="J161">
            <v>37072</v>
          </cell>
        </row>
        <row r="162">
          <cell r="A162">
            <v>160</v>
          </cell>
          <cell r="C162" t="str">
            <v>Мостовский</v>
          </cell>
          <cell r="D162" t="str">
            <v>Ходзь - Мостовской - Соленое ;  км: 173+700-181+200</v>
          </cell>
          <cell r="F162" t="str">
            <v>Поверхностная обработка (II вариант)</v>
          </cell>
          <cell r="G162" t="str">
            <v>Район: Мостовский \ Ходзь - Мостовской - Соленое ;  км: 173+700-181+200 \ Поверхностная обработка (II вариант)</v>
          </cell>
          <cell r="H162">
            <v>36982</v>
          </cell>
          <cell r="I162">
            <v>37165</v>
          </cell>
          <cell r="J162">
            <v>37072</v>
          </cell>
        </row>
        <row r="163">
          <cell r="A163">
            <v>161</v>
          </cell>
          <cell r="C163" t="str">
            <v>Мостовский</v>
          </cell>
          <cell r="D163" t="str">
            <v>Ходзь - Мостовской - Соленое ;  км: 197+500-202+400</v>
          </cell>
          <cell r="F163" t="str">
            <v>Поверхностная обработка (II вариант)</v>
          </cell>
          <cell r="G163" t="str">
            <v>Район: Мостовский \ Ходзь - Мостовской - Соленое ;  км: 197+500-202+400 \ Поверхностная обработка (II вариант)</v>
          </cell>
          <cell r="H163">
            <v>36982</v>
          </cell>
          <cell r="I163">
            <v>37165</v>
          </cell>
          <cell r="J163">
            <v>37072</v>
          </cell>
        </row>
        <row r="164">
          <cell r="A164">
            <v>162</v>
          </cell>
          <cell r="C164" t="str">
            <v>Мостовский</v>
          </cell>
          <cell r="D164" t="str">
            <v>Ярославская - Унароково ;  км: 16+000-21+800</v>
          </cell>
          <cell r="F164" t="str">
            <v>Поверхностная обработка (II вариант)</v>
          </cell>
          <cell r="G164" t="str">
            <v>Район: Мостовский \ Ярославская - Унароково ;  км: 16+000-21+800 \ Поверхностная обработка (II вариант)</v>
          </cell>
          <cell r="H164">
            <v>36982</v>
          </cell>
          <cell r="I164">
            <v>37165</v>
          </cell>
          <cell r="J164">
            <v>37072</v>
          </cell>
        </row>
        <row r="165">
          <cell r="A165">
            <v>163</v>
          </cell>
          <cell r="C165" t="str">
            <v>Мостовский</v>
          </cell>
          <cell r="D165" t="str">
            <v>Мостовской - Хамкетинская ;  км: 17+000-21+000</v>
          </cell>
          <cell r="F165" t="str">
            <v>Облегченный ремонт - III вариант</v>
          </cell>
          <cell r="G165" t="str">
            <v>Район: Мостовский \ Мостовской - Хамкетинская ;  км: 17+000-21+000 \ Облегченный ремонт - III вариант</v>
          </cell>
          <cell r="H165">
            <v>36982</v>
          </cell>
          <cell r="I165">
            <v>37165</v>
          </cell>
          <cell r="J165">
            <v>37072</v>
          </cell>
        </row>
        <row r="166">
          <cell r="A166">
            <v>164</v>
          </cell>
          <cell r="C166" t="str">
            <v>Мостовский</v>
          </cell>
          <cell r="D166" t="str">
            <v>Ярославская - Унароково ;  км: 12+500-14+200</v>
          </cell>
          <cell r="F166" t="str">
            <v>Перевод гравийных и щебеночных дорог в а/б с пов.обр</v>
          </cell>
          <cell r="G166" t="str">
            <v>Район: Мостовский \ Ярославская - Унароково ;  км: 12+500-14+200 \ Перевод гравийных и щебеночных дорог в а/б с пов.обр</v>
          </cell>
          <cell r="H166">
            <v>36982</v>
          </cell>
          <cell r="I166">
            <v>37165</v>
          </cell>
          <cell r="J166">
            <v>37072</v>
          </cell>
        </row>
        <row r="167">
          <cell r="A167">
            <v>165</v>
          </cell>
          <cell r="C167" t="str">
            <v>Новокубанский</v>
          </cell>
          <cell r="D167" t="str">
            <v>Обход г.Новокубанск ;  км: 5+000-8+600</v>
          </cell>
          <cell r="F167" t="str">
            <v>Поверхностная обработка (II вариант)</v>
          </cell>
          <cell r="G167" t="str">
            <v>Район: Новокубанский \ Обход г.Новокубанск ;  км: 5+000-8+600 \ Поверхностная обработка (II вариант)</v>
          </cell>
          <cell r="H167">
            <v>36982</v>
          </cell>
          <cell r="I167">
            <v>37165</v>
          </cell>
          <cell r="J167">
            <v>37072</v>
          </cell>
        </row>
        <row r="168">
          <cell r="A168">
            <v>166</v>
          </cell>
          <cell r="C168" t="str">
            <v>Новокубанский</v>
          </cell>
          <cell r="D168" t="str">
            <v>Новокубанск - Ляпино - Камышеваха ;  км: 2+320-2+320</v>
          </cell>
          <cell r="F168" t="str">
            <v>Восстановление берегозащитных сооружений</v>
          </cell>
          <cell r="G168" t="str">
            <v>Район: Новокубанский \ Новокубанск - Ляпино - Камышеваха ;  км: 2+320-2+320 \ Восстановление берегозащитных сооружений</v>
          </cell>
          <cell r="H168">
            <v>36982</v>
          </cell>
          <cell r="I168">
            <v>37165</v>
          </cell>
          <cell r="J168">
            <v>37072</v>
          </cell>
        </row>
        <row r="169">
          <cell r="A169">
            <v>167</v>
          </cell>
          <cell r="C169" t="str">
            <v>Новопокровский</v>
          </cell>
          <cell r="D169" t="str">
            <v>Сальск - Тихорецк ;  км: 35+194-55+088</v>
          </cell>
          <cell r="F169" t="str">
            <v>Поверхностная обработка (II вариант)</v>
          </cell>
          <cell r="G169" t="str">
            <v>Район: Новопокровский \ Сальск - Тихорецк ;  км: 35+194-55+088 \ Поверхностная обработка (II вариант)</v>
          </cell>
          <cell r="H169">
            <v>36982</v>
          </cell>
          <cell r="I169">
            <v>37165</v>
          </cell>
          <cell r="J169">
            <v>37072</v>
          </cell>
        </row>
        <row r="170">
          <cell r="A170">
            <v>168</v>
          </cell>
          <cell r="C170" t="str">
            <v>Новопокровский</v>
          </cell>
          <cell r="D170" t="str">
            <v>Кавказская - Новопокровская ;  км: 57+260-63+260</v>
          </cell>
          <cell r="F170" t="str">
            <v>Поверхностная обработка (II вариант)</v>
          </cell>
          <cell r="G170" t="str">
            <v>Район: Новопокровский \ Кавказская - Новопокровская ;  км: 57+260-63+260 \ Поверхностная обработка (II вариант)</v>
          </cell>
          <cell r="H170">
            <v>36982</v>
          </cell>
          <cell r="I170">
            <v>37165</v>
          </cell>
          <cell r="J170">
            <v>37072</v>
          </cell>
        </row>
        <row r="171">
          <cell r="A171">
            <v>169</v>
          </cell>
          <cell r="C171" t="str">
            <v>Новопокровский</v>
          </cell>
          <cell r="D171" t="str">
            <v>Новопокровская-Плоская ;  км: 36+300-37+800</v>
          </cell>
          <cell r="F171" t="str">
            <v>Облегченный ремонт - III вариант</v>
          </cell>
          <cell r="G171" t="str">
            <v>Район: Новопокровский \ Новопокровская-Плоская ;  км: 36+300-37+800 \ Облегченный ремонт - III вариант</v>
          </cell>
          <cell r="H171">
            <v>36982</v>
          </cell>
          <cell r="I171">
            <v>37165</v>
          </cell>
          <cell r="J171">
            <v>37072</v>
          </cell>
        </row>
        <row r="172">
          <cell r="A172">
            <v>170</v>
          </cell>
          <cell r="C172" t="str">
            <v>Отрадненский</v>
          </cell>
          <cell r="D172" t="str">
            <v>Отрадная - Спокойная ;  км: 8+500-13+200</v>
          </cell>
          <cell r="F172" t="str">
            <v>Поверхностная обработка (II вариант)</v>
          </cell>
          <cell r="G172" t="str">
            <v>Район: Отрадненский \ Отрадная - Спокойная ;  км: 8+500-13+200 \ Поверхностная обработка (II вариант)</v>
          </cell>
          <cell r="H172">
            <v>36982</v>
          </cell>
          <cell r="I172">
            <v>37165</v>
          </cell>
          <cell r="J172">
            <v>37072</v>
          </cell>
        </row>
        <row r="173">
          <cell r="A173">
            <v>171</v>
          </cell>
          <cell r="C173" t="str">
            <v>Отрадненский</v>
          </cell>
          <cell r="D173" t="str">
            <v>Отрадная - Муравьи ;  км: 1+800-4+500 ; 9+000-15+800</v>
          </cell>
          <cell r="F173" t="str">
            <v>Поверхностная обработка (II вариант)</v>
          </cell>
          <cell r="G173" t="str">
            <v>Район: Отрадненский \ Отрадная - Муравьи ;  км: 1+800-4+500 ; 9+000-15+800 \ Поверхностная обработка (II вариант)</v>
          </cell>
          <cell r="H173">
            <v>36982</v>
          </cell>
          <cell r="I173">
            <v>37165</v>
          </cell>
          <cell r="J173">
            <v>37072</v>
          </cell>
        </row>
        <row r="174">
          <cell r="A174">
            <v>172</v>
          </cell>
          <cell r="C174" t="str">
            <v>Отрадненский</v>
          </cell>
          <cell r="D174" t="str">
            <v>Отрадная - Трактовый ;  км: 4+500-15+000</v>
          </cell>
          <cell r="F174" t="str">
            <v>Поверхностная обработка (II вариант)</v>
          </cell>
          <cell r="G174" t="str">
            <v>Район: Отрадненский \ Отрадная - Трактовый ;  км: 4+500-15+000 \ Поверхностная обработка (II вариант)</v>
          </cell>
          <cell r="H174">
            <v>36982</v>
          </cell>
          <cell r="I174">
            <v>37165</v>
          </cell>
          <cell r="J174">
            <v>37072</v>
          </cell>
        </row>
        <row r="175">
          <cell r="A175">
            <v>173</v>
          </cell>
          <cell r="C175" t="str">
            <v>Отрадненский</v>
          </cell>
          <cell r="D175" t="str">
            <v>Подъезд к племзаводу "Урупский" ;  км: 0+000-2+100</v>
          </cell>
          <cell r="F175" t="str">
            <v>Поверхностная обработка (II вариант)</v>
          </cell>
          <cell r="G175" t="str">
            <v>Район: Отрадненский \ Подъезд к племзаводу "Урупский" ;  км: 0+000-2+100 \ Поверхностная обработка (II вариант)</v>
          </cell>
          <cell r="H175">
            <v>36982</v>
          </cell>
          <cell r="I175">
            <v>37165</v>
          </cell>
          <cell r="J175">
            <v>37072</v>
          </cell>
        </row>
        <row r="176">
          <cell r="A176">
            <v>174</v>
          </cell>
          <cell r="C176" t="str">
            <v>Отрадненский</v>
          </cell>
          <cell r="D176" t="str">
            <v>Обход ст.Отрадная ;  км: 0+000-2+100</v>
          </cell>
          <cell r="F176" t="str">
            <v>Поверхностная обработка (II вариант)</v>
          </cell>
          <cell r="G176" t="str">
            <v>Район: Отрадненский \ Обход ст.Отрадная ;  км: 0+000-2+100 \ Поверхностная обработка (II вариант)</v>
          </cell>
          <cell r="H176">
            <v>36982</v>
          </cell>
          <cell r="I176">
            <v>37165</v>
          </cell>
          <cell r="J176">
            <v>37072</v>
          </cell>
        </row>
        <row r="177">
          <cell r="A177">
            <v>175</v>
          </cell>
          <cell r="C177" t="str">
            <v>Отрадненский</v>
          </cell>
          <cell r="D177" t="str">
            <v>Попутная - Рудь ;  км: 15+000-18+800</v>
          </cell>
          <cell r="F177" t="str">
            <v>Поверхностная обработка (II вариант)</v>
          </cell>
          <cell r="G177" t="str">
            <v>Район: Отрадненский \ Попутная - Рудь ;  км: 15+000-18+800 \ Поверхностная обработка (II вариант)</v>
          </cell>
          <cell r="H177">
            <v>36982</v>
          </cell>
          <cell r="I177">
            <v>37165</v>
          </cell>
          <cell r="J177">
            <v>37072</v>
          </cell>
        </row>
        <row r="178">
          <cell r="A178">
            <v>176</v>
          </cell>
          <cell r="C178" t="str">
            <v>Отрадненский</v>
          </cell>
          <cell r="D178" t="str">
            <v>Передовая - х.Ильич ;  км: 6+600-10+600 (на участке 6+600-9+100)</v>
          </cell>
          <cell r="F178" t="str">
            <v>Перевод гравийных и щебеночных дорог в а/б с пов.обр</v>
          </cell>
          <cell r="G178" t="str">
            <v>Район: Отрадненский \ Передовая - х.Ильич ;  км: 6+600-10+600 (на участке 6+600-9+100) \ Перевод гравийных и щебеночных дорог в а/б с пов.обр</v>
          </cell>
          <cell r="H178">
            <v>36982</v>
          </cell>
          <cell r="I178">
            <v>37165</v>
          </cell>
          <cell r="J178">
            <v>37072</v>
          </cell>
        </row>
        <row r="179">
          <cell r="A179">
            <v>177</v>
          </cell>
          <cell r="C179" t="str">
            <v>Павловский</v>
          </cell>
          <cell r="D179" t="str">
            <v>Подъезд к х.Пушкин ;  км: 0+000-9+600</v>
          </cell>
          <cell r="F179" t="str">
            <v>Поверхностная обработка (II вариант)</v>
          </cell>
          <cell r="G179" t="str">
            <v>Район: Павловский \ Подъезд к х.Пушкин ;  км: 0+000-9+600 \ Поверхностная обработка (II вариант)</v>
          </cell>
          <cell r="H179">
            <v>36982</v>
          </cell>
          <cell r="I179">
            <v>37165</v>
          </cell>
          <cell r="J179">
            <v>37072</v>
          </cell>
        </row>
        <row r="180">
          <cell r="A180">
            <v>178</v>
          </cell>
          <cell r="C180" t="str">
            <v>Павловский</v>
          </cell>
          <cell r="D180" t="str">
            <v>Центр - Пляж ;  км: 0+000-4+290</v>
          </cell>
          <cell r="F180" t="str">
            <v>Облегченный ремонт - III вариант</v>
          </cell>
          <cell r="G180" t="str">
            <v>Район: Павловский \ Центр - Пляж ;  км: 0+000-4+290 \ Облегченный ремонт - III вариант</v>
          </cell>
          <cell r="H180">
            <v>36982</v>
          </cell>
          <cell r="I180">
            <v>37165</v>
          </cell>
          <cell r="J180">
            <v>37072</v>
          </cell>
        </row>
        <row r="181">
          <cell r="A181">
            <v>179</v>
          </cell>
          <cell r="C181" t="str">
            <v>Павловский</v>
          </cell>
          <cell r="D181" t="str">
            <v>Подъезд к ст.Атаманская ;  км: 0+000-3+000</v>
          </cell>
          <cell r="F181" t="str">
            <v>Облегченный ремонт - III вариант</v>
          </cell>
          <cell r="G181" t="str">
            <v>Район: Павловский \ Подъезд к ст.Атаманская ;  км: 0+000-3+000 \ Облегченный ремонт - III вариант</v>
          </cell>
          <cell r="H181">
            <v>36982</v>
          </cell>
          <cell r="I181">
            <v>37165</v>
          </cell>
          <cell r="J181">
            <v>37072</v>
          </cell>
        </row>
        <row r="182">
          <cell r="A182">
            <v>180</v>
          </cell>
          <cell r="C182" t="str">
            <v>Павловский</v>
          </cell>
          <cell r="D182" t="str">
            <v>Северный - Новолеушковская ;  км: 21+700-27+800</v>
          </cell>
          <cell r="F182" t="str">
            <v>Облегченный ремонт - III вариант</v>
          </cell>
          <cell r="G182" t="str">
            <v>Район: Павловский \ Северный - Новолеушковская ;  км: 21+700-27+800 \ Облегченный ремонт - III вариант</v>
          </cell>
          <cell r="H182">
            <v>36982</v>
          </cell>
          <cell r="I182">
            <v>37165</v>
          </cell>
          <cell r="J182">
            <v>37072</v>
          </cell>
        </row>
        <row r="183">
          <cell r="A183">
            <v>181</v>
          </cell>
          <cell r="C183" t="str">
            <v>Приморско-Ахтарский</v>
          </cell>
          <cell r="D183" t="str">
            <v>Ольгинская - Степная ;  км: 0+000-24+226</v>
          </cell>
          <cell r="F183" t="str">
            <v>Поверхностная обработка (II вариант)</v>
          </cell>
          <cell r="G183" t="str">
            <v>Район: Приморско-Ахтарский \ Ольгинская - Степная ;  км: 0+000-24+226 \ Поверхностная обработка (II вариант)</v>
          </cell>
          <cell r="H183">
            <v>36982</v>
          </cell>
          <cell r="I183">
            <v>37165</v>
          </cell>
          <cell r="J183">
            <v>37072</v>
          </cell>
        </row>
        <row r="184">
          <cell r="A184">
            <v>182</v>
          </cell>
          <cell r="C184" t="str">
            <v>Приморско-Ахтарский</v>
          </cell>
          <cell r="D184" t="str">
            <v>Тимашевск - Приморско-Ахтарск ;  км: 45+500-54+500</v>
          </cell>
          <cell r="F184" t="str">
            <v>Поверхностная обработка (II вариант)</v>
          </cell>
          <cell r="G184" t="str">
            <v>Район: Приморско-Ахтарский \ Тимашевск - Приморско-Ахтарск ;  км: 45+500-54+500 \ Поверхностная обработка (II вариант)</v>
          </cell>
          <cell r="H184">
            <v>36982</v>
          </cell>
          <cell r="I184">
            <v>37165</v>
          </cell>
          <cell r="J184">
            <v>37072</v>
          </cell>
        </row>
        <row r="185">
          <cell r="A185">
            <v>183</v>
          </cell>
          <cell r="C185" t="str">
            <v>Приморско-Ахтарский</v>
          </cell>
          <cell r="D185" t="str">
            <v>Подъезд к х.Новонекрасовский км 0+000-1+500</v>
          </cell>
          <cell r="F185" t="str">
            <v>Комплексные работы</v>
          </cell>
          <cell r="G185" t="str">
            <v>Район: Приморско-Ахтарский \ Подъезд к х.Новонекрасовский км 0+000-1+500 \ Комплексные работы</v>
          </cell>
          <cell r="H185">
            <v>36982</v>
          </cell>
          <cell r="I185">
            <v>37165</v>
          </cell>
          <cell r="J185">
            <v>37072</v>
          </cell>
        </row>
        <row r="186">
          <cell r="A186">
            <v>184</v>
          </cell>
          <cell r="C186" t="str">
            <v>Северский</v>
          </cell>
          <cell r="D186" t="str">
            <v>Стефановский - Новоивановская - Дербентская ;  км: 10+000-16+750 ; 17+350-19+800</v>
          </cell>
          <cell r="F186" t="str">
            <v>Поверхностная обработка (II вариант)</v>
          </cell>
          <cell r="G186" t="str">
            <v>Район: Северский \ Стефановский - Новоивановская - Дербентская ;  км: 10+000-16+750 ; 17+350-19+800 \ Поверхностная обработка (II вариант)</v>
          </cell>
          <cell r="H186">
            <v>36982</v>
          </cell>
          <cell r="I186">
            <v>37165</v>
          </cell>
          <cell r="J186">
            <v>37072</v>
          </cell>
        </row>
        <row r="187">
          <cell r="A187">
            <v>185</v>
          </cell>
          <cell r="C187" t="str">
            <v>Северский</v>
          </cell>
          <cell r="D187" t="str">
            <v>Афипский - Коваленко ;  км: 0+000-8+600</v>
          </cell>
          <cell r="F187" t="str">
            <v>Поверхностная обработка (II вариант)</v>
          </cell>
          <cell r="G187" t="str">
            <v>Район: Северский \ Афипский - Коваленко ;  км: 0+000-8+600 \ Поверхностная обработка (II вариант)</v>
          </cell>
          <cell r="H187">
            <v>36982</v>
          </cell>
          <cell r="I187">
            <v>37165</v>
          </cell>
          <cell r="J187">
            <v>37072</v>
          </cell>
        </row>
        <row r="188">
          <cell r="A188">
            <v>186</v>
          </cell>
          <cell r="C188" t="str">
            <v>Северский</v>
          </cell>
          <cell r="D188" t="str">
            <v>Афипский - Новодмитриевская - Горячий Ключ ;  км: 0+000-9+300</v>
          </cell>
          <cell r="F188" t="str">
            <v>Поверхностная обработка (II вариант)</v>
          </cell>
          <cell r="G188" t="str">
            <v>Район: Северский \ Афипский - Новодмитриевская - Горячий Ключ ;  км: 0+000-9+300 \ Поверхностная обработка (II вариант)</v>
          </cell>
          <cell r="H188">
            <v>36982</v>
          </cell>
          <cell r="I188">
            <v>37165</v>
          </cell>
          <cell r="J188">
            <v>37072</v>
          </cell>
        </row>
        <row r="189">
          <cell r="A189">
            <v>187</v>
          </cell>
          <cell r="C189" t="str">
            <v>Славянский</v>
          </cell>
          <cell r="D189" t="str">
            <v>Баранниковский - Семисводный - Анастасиевская ;  км: 0+000-8+750 ; 11+750-15+900</v>
          </cell>
          <cell r="F189" t="str">
            <v>Поверхностная обработка (II вариант)</v>
          </cell>
          <cell r="G189" t="str">
            <v>Район: Славянский \ Баранниковский - Семисводный - Анастасиевская ;  км: 0+000-8+750 ; 11+750-15+900 \ Поверхностная обработка (II вариант)</v>
          </cell>
          <cell r="H189">
            <v>36982</v>
          </cell>
          <cell r="I189">
            <v>37165</v>
          </cell>
          <cell r="J189">
            <v>37072</v>
          </cell>
        </row>
        <row r="190">
          <cell r="A190">
            <v>188</v>
          </cell>
          <cell r="C190" t="str">
            <v>Славянский</v>
          </cell>
          <cell r="D190" t="str">
            <v>Петровская - Черноерковская - Ачуево ;  км: 0+000-9+000</v>
          </cell>
          <cell r="F190" t="str">
            <v>Поверхностная обработка (II вариант)</v>
          </cell>
          <cell r="G190" t="str">
            <v>Район: Славянский \ Петровская - Черноерковская - Ачуево ;  км: 0+000-9+000 \ Поверхностная обработка (II вариант)</v>
          </cell>
          <cell r="H190">
            <v>36982</v>
          </cell>
          <cell r="I190">
            <v>37165</v>
          </cell>
          <cell r="J190">
            <v>37072</v>
          </cell>
        </row>
        <row r="191">
          <cell r="A191">
            <v>189</v>
          </cell>
          <cell r="C191" t="str">
            <v>Славянский</v>
          </cell>
          <cell r="D191" t="str">
            <v>Петровская - Забойский км 19</v>
          </cell>
          <cell r="F191" t="str">
            <v>Устройство автопавильонов</v>
          </cell>
          <cell r="G191" t="str">
            <v>Район: Славянский \ Петровская - Забойский км 19 \ Устройство автопавильонов</v>
          </cell>
          <cell r="H191">
            <v>36982</v>
          </cell>
          <cell r="I191">
            <v>37165</v>
          </cell>
          <cell r="J191">
            <v>37072</v>
          </cell>
        </row>
        <row r="192">
          <cell r="A192">
            <v>190</v>
          </cell>
          <cell r="C192" t="str">
            <v>Славянский</v>
          </cell>
          <cell r="D192" t="str">
            <v>Славянск-на-Кубани - Петровская - Целинный - Ачуево ;  км: 0+000-2+000</v>
          </cell>
          <cell r="F192" t="str">
            <v>Устройство автопавильонов</v>
          </cell>
          <cell r="G192" t="str">
            <v>Район: Славянский \ Славянск-на-Кубани - Петровская - Целинный - Ачуево ;  км: 0+000-2+000 \ Устройство автопавильонов</v>
          </cell>
          <cell r="H192">
            <v>36982</v>
          </cell>
          <cell r="I192">
            <v>37165</v>
          </cell>
          <cell r="J192">
            <v>37072</v>
          </cell>
        </row>
        <row r="193">
          <cell r="A193">
            <v>191</v>
          </cell>
          <cell r="C193" t="str">
            <v>Староминский</v>
          </cell>
          <cell r="D193" t="str">
            <v>Староминская - Ленинградская - Павловская ;  км: 0+000-21+ 540</v>
          </cell>
          <cell r="F193" t="str">
            <v>Поверхностная обработка (II вариант)</v>
          </cell>
          <cell r="G193" t="str">
            <v>Район: Староминский \ Староминская - Ленинградская - Павловская ;  км: 0+000-21+ 540 \ Поверхностная обработка (II вариант)</v>
          </cell>
          <cell r="H193">
            <v>36982</v>
          </cell>
          <cell r="I193">
            <v>37165</v>
          </cell>
          <cell r="J193">
            <v>37072</v>
          </cell>
        </row>
        <row r="194">
          <cell r="A194">
            <v>192</v>
          </cell>
          <cell r="C194" t="str">
            <v>Староминский</v>
          </cell>
          <cell r="D194" t="str">
            <v>Подъезд к а/д Азов-Александровская-Староминская км 0+000-2+900</v>
          </cell>
          <cell r="F194" t="str">
            <v>Устройство тротуаров и пешеходных дорожек</v>
          </cell>
          <cell r="G194" t="str">
            <v>Район: Староминский \ Подъезд к а/д Азов-Александровская-Староминская км 0+000-2+900 \ Устройство тротуаров и пешеходных дорожек</v>
          </cell>
          <cell r="H194">
            <v>36982</v>
          </cell>
          <cell r="I194">
            <v>37165</v>
          </cell>
          <cell r="J194">
            <v>37072</v>
          </cell>
        </row>
        <row r="195">
          <cell r="A195">
            <v>193</v>
          </cell>
          <cell r="C195" t="str">
            <v>Тбилисский</v>
          </cell>
          <cell r="D195" t="str">
            <v>Северин - Песчаный - Веревкин ;  км: 5+700-24+900</v>
          </cell>
          <cell r="F195" t="str">
            <v>Поверхностная обработка (II вариант)</v>
          </cell>
          <cell r="G195" t="str">
            <v>Район: Тбилисский \ Северин - Песчаный - Веревкин ;  км: 5+700-24+900 \ Поверхностная обработка (II вариант)</v>
          </cell>
          <cell r="H195">
            <v>36982</v>
          </cell>
          <cell r="I195">
            <v>37165</v>
          </cell>
          <cell r="J195">
            <v>37072</v>
          </cell>
        </row>
        <row r="196">
          <cell r="A196">
            <v>194</v>
          </cell>
          <cell r="C196" t="str">
            <v>Тбилисский</v>
          </cell>
          <cell r="D196" t="str">
            <v>Тбилисская - Воздвиженская ;  км: 13+000-20+000</v>
          </cell>
          <cell r="F196" t="str">
            <v>Поверхностная обработка (II вариант)</v>
          </cell>
          <cell r="G196" t="str">
            <v>Район: Тбилисский \ Тбилисская - Воздвиженская ;  км: 13+000-20+000 \ Поверхностная обработка (II вариант)</v>
          </cell>
          <cell r="H196">
            <v>36982</v>
          </cell>
          <cell r="I196">
            <v>37165</v>
          </cell>
          <cell r="J196">
            <v>37072</v>
          </cell>
        </row>
        <row r="197">
          <cell r="A197">
            <v>195</v>
          </cell>
          <cell r="C197" t="str">
            <v>Тбилисский</v>
          </cell>
          <cell r="D197" t="str">
            <v>Северокубанский - граница Гулькевичского р-на ;  км: 0+000-5+200</v>
          </cell>
          <cell r="F197" t="str">
            <v>Поверхностная обработка (II вариант)</v>
          </cell>
          <cell r="G197" t="str">
            <v>Район: Тбилисский \ Северокубанский - граница Гулькевичского р-на ;  км: 0+000-5+200 \ Поверхностная обработка (II вариант)</v>
          </cell>
          <cell r="H197">
            <v>36982</v>
          </cell>
          <cell r="I197">
            <v>37165</v>
          </cell>
          <cell r="J197">
            <v>37072</v>
          </cell>
        </row>
        <row r="198">
          <cell r="A198">
            <v>196</v>
          </cell>
          <cell r="C198" t="str">
            <v>Темрюкский</v>
          </cell>
          <cell r="D198" t="str">
            <v>Запорожская - Гаркуша ;  км: 0+000-4+000</v>
          </cell>
          <cell r="F198" t="str">
            <v>Поверхностная обработка (II вариант)</v>
          </cell>
          <cell r="G198" t="str">
            <v>Район: Темрюкский \ Запорожская - Гаркуша ;  км: 0+000-4+000 \ Поверхностная обработка (II вариант)</v>
          </cell>
          <cell r="H198">
            <v>36982</v>
          </cell>
          <cell r="I198">
            <v>37165</v>
          </cell>
          <cell r="J198">
            <v>37072</v>
          </cell>
        </row>
        <row r="199">
          <cell r="A199">
            <v>197</v>
          </cell>
          <cell r="C199" t="str">
            <v>Темрюкский</v>
          </cell>
          <cell r="D199" t="str">
            <v>Тамань - Веселовка ;  км: 0+000-6+000</v>
          </cell>
          <cell r="F199" t="str">
            <v>Поверхностная обработка (II вариант)</v>
          </cell>
          <cell r="G199" t="str">
            <v>Район: Темрюкский \ Тамань - Веселовка ;  км: 0+000-6+000 \ Поверхностная обработка (II вариант)</v>
          </cell>
          <cell r="H199">
            <v>36982</v>
          </cell>
          <cell r="I199">
            <v>37165</v>
          </cell>
          <cell r="J199">
            <v>37072</v>
          </cell>
        </row>
        <row r="200">
          <cell r="A200">
            <v>198</v>
          </cell>
          <cell r="C200" t="str">
            <v>Темрюкский</v>
          </cell>
          <cell r="D200" t="str">
            <v>Тамань - Веселовка ;  км: 10+000-19+100</v>
          </cell>
          <cell r="F200" t="str">
            <v>Поверхностная обработка (II вариант)</v>
          </cell>
          <cell r="G200" t="str">
            <v>Район: Темрюкский \ Тамань - Веселовка ;  км: 10+000-19+100 \ Поверхностная обработка (II вариант)</v>
          </cell>
          <cell r="H200">
            <v>36982</v>
          </cell>
          <cell r="I200">
            <v>37165</v>
          </cell>
          <cell r="J200">
            <v>37072</v>
          </cell>
        </row>
        <row r="201">
          <cell r="A201">
            <v>199</v>
          </cell>
          <cell r="C201" t="str">
            <v>Темрюкский</v>
          </cell>
          <cell r="D201" t="str">
            <v>Темрюк - Краснодар - Кропоткин ;  км: 10+000-11+300</v>
          </cell>
          <cell r="F201" t="str">
            <v>Облегченный ремонт - III вариант</v>
          </cell>
          <cell r="G201" t="str">
            <v>Район: Темрюкский \ Темрюк - Краснодар - Кропоткин ;  км: 10+000-11+300 \ Облегченный ремонт - III вариант</v>
          </cell>
          <cell r="H201">
            <v>36982</v>
          </cell>
          <cell r="I201">
            <v>37165</v>
          </cell>
          <cell r="J201">
            <v>37072</v>
          </cell>
        </row>
        <row r="202">
          <cell r="A202">
            <v>200</v>
          </cell>
          <cell r="C202" t="str">
            <v>Темрюкский</v>
          </cell>
          <cell r="D202" t="str">
            <v>Термюк-Краснодар-Кропоткин  1+350л 1+500л 1+500пр 0+800пр 0+950л 0+800л</v>
          </cell>
          <cell r="F202" t="str">
            <v>Ремонт покрытия на съездах</v>
          </cell>
          <cell r="G202" t="str">
            <v>Район: Темрюкский \ Термюк-Краснодар-Кропоткин  1+350л 1+500л 1+500пр 0+800пр 0+950л 0+800л \ Ремонт покрытия на съездах</v>
          </cell>
          <cell r="H202">
            <v>36982</v>
          </cell>
          <cell r="I202">
            <v>37165</v>
          </cell>
          <cell r="J202">
            <v>37072</v>
          </cell>
        </row>
        <row r="203">
          <cell r="A203">
            <v>201</v>
          </cell>
          <cell r="C203" t="str">
            <v>Темрюкский</v>
          </cell>
          <cell r="D203" t="str">
            <v>Темрюк-Краснодар-Кропоткин5+100пр 10+700пр 12+300л 12+300 пр  19+800пр 24+800пр 26+680пр</v>
          </cell>
          <cell r="F203" t="str">
            <v>Ремонт остановочных площадок</v>
          </cell>
          <cell r="G203" t="str">
            <v>Район: Темрюкский \ Темрюк-Краснодар-Кропоткин5+100пр 10+700пр 12+300л 12+300 пр  19+800пр 24+800пр 26+680пр \ Ремонт остановочных площадок</v>
          </cell>
          <cell r="H203">
            <v>36982</v>
          </cell>
          <cell r="I203">
            <v>37165</v>
          </cell>
          <cell r="J203">
            <v>37072</v>
          </cell>
        </row>
        <row r="204">
          <cell r="A204">
            <v>202</v>
          </cell>
          <cell r="C204" t="str">
            <v>Темрюкский</v>
          </cell>
          <cell r="D204" t="str">
            <v>Темрюк-Южный  склон  0+400 - 0+900</v>
          </cell>
          <cell r="F204" t="str">
            <v>Ремонт тротуаров и пешеходных дорожек</v>
          </cell>
          <cell r="G204" t="str">
            <v>Район: Темрюкский \ Темрюк-Южный  склон  0+400 - 0+900 \ Ремонт тротуаров и пешеходных дорожек</v>
          </cell>
          <cell r="H204">
            <v>36982</v>
          </cell>
          <cell r="I204">
            <v>37165</v>
          </cell>
          <cell r="J204">
            <v>37072</v>
          </cell>
        </row>
        <row r="205">
          <cell r="A205">
            <v>203</v>
          </cell>
          <cell r="C205" t="str">
            <v>Темрюкский</v>
          </cell>
          <cell r="D205" t="str">
            <v>Темрюк - Краснодар - Кропоткин ;  км: 1+270-1+800 ; 15+650-16+050</v>
          </cell>
          <cell r="F205" t="str">
            <v>Ремонт тротуаров и пешеходных дорожек</v>
          </cell>
          <cell r="G205" t="str">
            <v>Район: Темрюкский \ Темрюк - Краснодар - Кропоткин ;  км: 1+270-1+800 ; 15+650-16+050 \ Ремонт тротуаров и пешеходных дорожек</v>
          </cell>
          <cell r="H205">
            <v>36982</v>
          </cell>
          <cell r="I205">
            <v>37165</v>
          </cell>
          <cell r="J205">
            <v>37072</v>
          </cell>
        </row>
        <row r="206">
          <cell r="A206">
            <v>204</v>
          </cell>
          <cell r="C206" t="str">
            <v>Тимашевский</v>
          </cell>
          <cell r="D206" t="str">
            <v>Тимашевск - Славянск-на-Кубани - Крымск ;  км: 0+000-5+000</v>
          </cell>
          <cell r="F206" t="str">
            <v>Поверхностная обработка (II вариант)</v>
          </cell>
          <cell r="G206" t="str">
            <v>Район: Тимашевский \ Тимашевск - Славянск-на-Кубани - Крымск ;  км: 0+000-5+000 \ Поверхностная обработка (II вариант)</v>
          </cell>
          <cell r="H206">
            <v>36982</v>
          </cell>
          <cell r="I206">
            <v>37165</v>
          </cell>
          <cell r="J206">
            <v>37072</v>
          </cell>
        </row>
        <row r="207">
          <cell r="A207">
            <v>205</v>
          </cell>
          <cell r="C207" t="str">
            <v>Тимашевский</v>
          </cell>
          <cell r="D207" t="str">
            <v>Краснодар - Ейск ;  км: 67+800-73+400</v>
          </cell>
          <cell r="F207" t="str">
            <v>Поверхностная обработка (II вариант)</v>
          </cell>
          <cell r="G207" t="str">
            <v>Район: Тимашевский \ Краснодар - Ейск ;  км: 67+800-73+400 \ Поверхностная обработка (II вариант)</v>
          </cell>
          <cell r="H207">
            <v>36982</v>
          </cell>
          <cell r="I207">
            <v>37165</v>
          </cell>
          <cell r="J207">
            <v>37072</v>
          </cell>
        </row>
        <row r="208">
          <cell r="A208">
            <v>206</v>
          </cell>
          <cell r="C208" t="str">
            <v>Тимашевский</v>
          </cell>
          <cell r="D208" t="str">
            <v>Тимашевск - Приморско-Ахтарск ;  км: 3+600-5+500</v>
          </cell>
          <cell r="F208" t="str">
            <v>Поверхностная обработка (II вариант)</v>
          </cell>
          <cell r="G208" t="str">
            <v>Район: Тимашевский \ Тимашевск - Приморско-Ахтарск ;  км: 3+600-5+500 \ Поверхностная обработка (II вариант)</v>
          </cell>
          <cell r="H208">
            <v>36982</v>
          </cell>
          <cell r="I208">
            <v>37165</v>
          </cell>
          <cell r="J208">
            <v>37072</v>
          </cell>
        </row>
        <row r="209">
          <cell r="A209">
            <v>207</v>
          </cell>
          <cell r="C209" t="str">
            <v>Тимашевский</v>
          </cell>
          <cell r="D209" t="str">
            <v>Новокорсунская - Незаймановский ;  км: 12+000-17+980</v>
          </cell>
          <cell r="F209" t="str">
            <v>Облегченный ремонт - III вариант</v>
          </cell>
          <cell r="G209" t="str">
            <v>Район: Тимашевский \ Новокорсунская - Незаймановский ;  км: 12+000-17+980 \ Облегченный ремонт - III вариант</v>
          </cell>
          <cell r="H209">
            <v>36982</v>
          </cell>
          <cell r="I209">
            <v>37165</v>
          </cell>
          <cell r="J209">
            <v>37072</v>
          </cell>
        </row>
        <row r="210">
          <cell r="A210">
            <v>208</v>
          </cell>
          <cell r="C210" t="str">
            <v>Тихорецкий</v>
          </cell>
          <cell r="D210" t="str">
            <v>Сальск - Тихорецк ;  км: 82+771-85+611</v>
          </cell>
          <cell r="F210" t="str">
            <v>Поверхностная обработка (II вариант)</v>
          </cell>
          <cell r="G210" t="str">
            <v>Район: Тихорецкий \ Сальск - Тихорецк ;  км: 82+771-85+611 \ Поверхностная обработка (II вариант)</v>
          </cell>
          <cell r="H210">
            <v>36982</v>
          </cell>
          <cell r="I210">
            <v>37165</v>
          </cell>
          <cell r="J210">
            <v>37072</v>
          </cell>
        </row>
        <row r="211">
          <cell r="A211">
            <v>209</v>
          </cell>
          <cell r="C211" t="str">
            <v>Тихорецкий</v>
          </cell>
          <cell r="D211" t="str">
            <v>Журавская - Тихорецк ;  км: 49+232-53+783</v>
          </cell>
          <cell r="F211" t="str">
            <v>Поверхностная обработка (II вариант)</v>
          </cell>
          <cell r="G211" t="str">
            <v>Район: Тихорецкий \ Журавская - Тихорецк ;  км: 49+232-53+783 \ Поверхностная обработка (II вариант)</v>
          </cell>
          <cell r="H211">
            <v>36982</v>
          </cell>
          <cell r="I211">
            <v>37165</v>
          </cell>
          <cell r="J211">
            <v>37072</v>
          </cell>
        </row>
        <row r="212">
          <cell r="A212">
            <v>210</v>
          </cell>
          <cell r="C212" t="str">
            <v>Тихорецкий</v>
          </cell>
          <cell r="D212" t="str">
            <v>Подъезд к п.Северный ;  км: 13+200-17+000</v>
          </cell>
          <cell r="F212" t="str">
            <v>Поверхностная обработка (II вариант)</v>
          </cell>
          <cell r="G212" t="str">
            <v>Район: Тихорецкий \ Подъезд к п.Северный ;  км: 13+200-17+000 \ Поверхностная обработка (II вариант)</v>
          </cell>
          <cell r="H212">
            <v>36982</v>
          </cell>
          <cell r="I212">
            <v>37165</v>
          </cell>
          <cell r="J212">
            <v>37072</v>
          </cell>
        </row>
        <row r="213">
          <cell r="A213">
            <v>211</v>
          </cell>
          <cell r="C213" t="str">
            <v>Тихорецкий</v>
          </cell>
          <cell r="D213" t="str">
            <v>Подъезд к ст.Еримизино-Борисовская ;  км: 0+000-7+400</v>
          </cell>
          <cell r="F213" t="str">
            <v>Поверхностная обработка (II вариант)</v>
          </cell>
          <cell r="G213" t="str">
            <v>Район: Тихорецкий \ Подъезд к ст.Еримизино-Борисовская ;  км: 0+000-7+400 \ Поверхностная обработка (II вариант)</v>
          </cell>
          <cell r="H213">
            <v>36982</v>
          </cell>
          <cell r="I213">
            <v>37165</v>
          </cell>
          <cell r="J213">
            <v>37072</v>
          </cell>
        </row>
        <row r="214">
          <cell r="A214">
            <v>212</v>
          </cell>
          <cell r="C214" t="str">
            <v>Тихорецкий</v>
          </cell>
          <cell r="D214" t="str">
            <v>Тихорецк - Алексеевская - Новоархангельская ;  км: 0+000-2+000</v>
          </cell>
          <cell r="F214" t="str">
            <v>Облегченный ремонт - III вариант</v>
          </cell>
          <cell r="G214" t="str">
            <v>Район: Тихорецкий \ Тихорецк - Алексеевская - Новоархангельская ;  км: 0+000-2+000 \ Облегченный ремонт - III вариант</v>
          </cell>
          <cell r="H214">
            <v>36982</v>
          </cell>
          <cell r="I214">
            <v>37165</v>
          </cell>
          <cell r="J214">
            <v>37072</v>
          </cell>
        </row>
        <row r="215">
          <cell r="A215">
            <v>213</v>
          </cell>
          <cell r="C215" t="str">
            <v>Тихорецкий</v>
          </cell>
          <cell r="D215" t="str">
            <v>Тихорецк - Алексеевская - Новоархангельская ;  км: 7+000-13+800</v>
          </cell>
          <cell r="F215" t="str">
            <v>Облегченный ремонт - III вариант</v>
          </cell>
          <cell r="G215" t="str">
            <v>Район: Тихорецкий \ Тихорецк - Алексеевская - Новоархангельская ;  км: 7+000-13+800 \ Облегченный ремонт - III вариант</v>
          </cell>
          <cell r="H215">
            <v>36982</v>
          </cell>
          <cell r="I215">
            <v>37165</v>
          </cell>
          <cell r="J215">
            <v>37072</v>
          </cell>
        </row>
        <row r="216">
          <cell r="A216">
            <v>214</v>
          </cell>
          <cell r="C216" t="str">
            <v>Тихорецкий</v>
          </cell>
          <cell r="D216" t="str">
            <v>Тихорецк - Алексеевская - Новоархангельская ;  км: 3+516</v>
          </cell>
          <cell r="F216" t="str">
            <v>Замена водопропускных труб</v>
          </cell>
          <cell r="G216" t="str">
            <v>Район: Тихорецкий \ Тихорецк - Алексеевская - Новоархангельская ;  км: 3+516 \ Замена водопропускных труб</v>
          </cell>
          <cell r="H216">
            <v>36982</v>
          </cell>
          <cell r="I216">
            <v>37165</v>
          </cell>
          <cell r="J216">
            <v>37072</v>
          </cell>
        </row>
        <row r="217">
          <cell r="A217">
            <v>215</v>
          </cell>
          <cell r="C217" t="str">
            <v>Тихорецкий</v>
          </cell>
          <cell r="D217" t="str">
            <v>Журавская - Тихорецк ;  км: 67+500-70+300</v>
          </cell>
          <cell r="F217" t="str">
            <v>Устройство тротуаров и пешеходных дорожек</v>
          </cell>
          <cell r="G217" t="str">
            <v>Район: Тихорецкий \ Журавская - Тихорецк ;  км: 67+500-70+300 \ Устройство тротуаров и пешеходных дорожек</v>
          </cell>
          <cell r="H217">
            <v>36982</v>
          </cell>
          <cell r="I217">
            <v>37165</v>
          </cell>
          <cell r="J217">
            <v>37072</v>
          </cell>
        </row>
        <row r="218">
          <cell r="A218">
            <v>216</v>
          </cell>
          <cell r="C218" t="str">
            <v>Тихорецкий</v>
          </cell>
          <cell r="D218" t="str">
            <v>Архангельская - Отрадная ;  км: 1+400-2+100</v>
          </cell>
          <cell r="F218" t="str">
            <v>Устройство тротуаров и пешеходных дорожек</v>
          </cell>
          <cell r="G218" t="str">
            <v>Район: Тихорецкий \ Архангельская - Отрадная ;  км: 1+400-2+100 \ Устройство тротуаров и пешеходных дорожек</v>
          </cell>
          <cell r="H218">
            <v>36982</v>
          </cell>
          <cell r="I218">
            <v>37165</v>
          </cell>
          <cell r="J218">
            <v>37072</v>
          </cell>
        </row>
        <row r="219">
          <cell r="A219">
            <v>217</v>
          </cell>
          <cell r="C219" t="str">
            <v>Тихорецкий</v>
          </cell>
          <cell r="D219" t="str">
            <v>Подъезд к п.Северный ;  км: 11+200-11+700</v>
          </cell>
          <cell r="F219" t="str">
            <v>Устройство тротуаров и пешеходных дорожек</v>
          </cell>
          <cell r="G219" t="str">
            <v>Район: Тихорецкий \ Подъезд к п.Северный ;  км: 11+200-11+700 \ Устройство тротуаров и пешеходных дорожек</v>
          </cell>
          <cell r="H219">
            <v>36982</v>
          </cell>
          <cell r="I219">
            <v>37165</v>
          </cell>
          <cell r="J219">
            <v>37072</v>
          </cell>
        </row>
        <row r="220">
          <cell r="A220">
            <v>218</v>
          </cell>
          <cell r="C220" t="str">
            <v>Туапсинский</v>
          </cell>
          <cell r="D220" t="str">
            <v>Майкоп - Туапсе ;  км: 194+300-196+300</v>
          </cell>
          <cell r="F220" t="str">
            <v>Поверхностная обработка (II вариант)</v>
          </cell>
          <cell r="G220" t="str">
            <v>Район: Туапсинский \ Майкоп - Туапсе ;  км: 194+300-196+300 \ Поверхностная обработка (II вариант)</v>
          </cell>
          <cell r="H220">
            <v>36982</v>
          </cell>
          <cell r="I220">
            <v>37165</v>
          </cell>
          <cell r="J220">
            <v>37072</v>
          </cell>
        </row>
        <row r="221">
          <cell r="A221">
            <v>219</v>
          </cell>
          <cell r="C221" t="str">
            <v>Туапсинский</v>
          </cell>
          <cell r="D221" t="str">
            <v>Майкоп - Туапсе ;  км: 217+000-220+900</v>
          </cell>
          <cell r="F221" t="str">
            <v>Поверхностная обработка (II вариант)</v>
          </cell>
          <cell r="G221" t="str">
            <v>Район: Туапсинский \ Майкоп - Туапсе ;  км: 217+000-220+900 \ Поверхностная обработка (II вариант)</v>
          </cell>
          <cell r="H221">
            <v>36982</v>
          </cell>
          <cell r="I221">
            <v>37165</v>
          </cell>
          <cell r="J221">
            <v>37072</v>
          </cell>
        </row>
        <row r="222">
          <cell r="A222">
            <v>220</v>
          </cell>
          <cell r="C222" t="str">
            <v>Туапсинский</v>
          </cell>
          <cell r="D222" t="str">
            <v>Майкоп - Туапсе ;  км: 223+500-228+213</v>
          </cell>
          <cell r="F222" t="str">
            <v>Поверхностная обработка (II вариант)</v>
          </cell>
          <cell r="G222" t="str">
            <v>Район: Туапсинский \ Майкоп - Туапсе ;  км: 223+500-228+213 \ Поверхностная обработка (II вариант)</v>
          </cell>
          <cell r="H222">
            <v>36982</v>
          </cell>
          <cell r="I222">
            <v>37165</v>
          </cell>
          <cell r="J222">
            <v>37072</v>
          </cell>
        </row>
        <row r="223">
          <cell r="A223">
            <v>221</v>
          </cell>
          <cell r="C223" t="str">
            <v>Туапсинский</v>
          </cell>
          <cell r="D223" t="str">
            <v>Майкоп - Туапсе ;  км: 234+000-234+900</v>
          </cell>
          <cell r="F223" t="str">
            <v>Поверхностная обработка (II вариант)</v>
          </cell>
          <cell r="G223" t="str">
            <v>Район: Туапсинский \ Майкоп - Туапсе ;  км: 234+000-234+900 \ Поверхностная обработка (II вариант)</v>
          </cell>
          <cell r="H223">
            <v>36982</v>
          </cell>
          <cell r="I223">
            <v>37165</v>
          </cell>
          <cell r="J223">
            <v>37072</v>
          </cell>
        </row>
        <row r="224">
          <cell r="A224">
            <v>222</v>
          </cell>
          <cell r="C224" t="str">
            <v>Туапсинский</v>
          </cell>
          <cell r="D224" t="str">
            <v>Подъезд к б/о "Инал" ;  км: 0+000-5+700</v>
          </cell>
          <cell r="F224" t="str">
            <v>Поверхностная обработка (II вариант)</v>
          </cell>
          <cell r="G224" t="str">
            <v>Район: Туапсинский \ Подъезд к б/о "Инал" ;  км: 0+000-5+700 \ Поверхностная обработка (II вариант)</v>
          </cell>
          <cell r="H224">
            <v>36982</v>
          </cell>
          <cell r="I224">
            <v>37165</v>
          </cell>
          <cell r="J224">
            <v>37072</v>
          </cell>
        </row>
        <row r="225">
          <cell r="A225">
            <v>223</v>
          </cell>
          <cell r="C225" t="str">
            <v>Туапсинский</v>
          </cell>
          <cell r="D225" t="str">
            <v>Майкоп - Туапсе ;  км: 191+500-193+500</v>
          </cell>
          <cell r="F225" t="str">
            <v>Капитальный ремонт с усилением дорожной одежды</v>
          </cell>
          <cell r="G225" t="str">
            <v>Район: Туапсинский \ Майкоп - Туапсе ;  км: 191+500-193+500 \ Капитальный ремонт с усилением дорожной одежды</v>
          </cell>
          <cell r="H225">
            <v>36982</v>
          </cell>
          <cell r="I225">
            <v>37165</v>
          </cell>
          <cell r="J225">
            <v>37072</v>
          </cell>
        </row>
        <row r="226">
          <cell r="A226">
            <v>224</v>
          </cell>
          <cell r="C226" t="str">
            <v>Успенский</v>
          </cell>
          <cell r="D226" t="str">
            <v>Подъезд к а.Урупский ;  км: 0+000-2+100</v>
          </cell>
          <cell r="F226" t="str">
            <v>Облегченный ремонт - III вариант</v>
          </cell>
          <cell r="G226" t="str">
            <v>Район: Успенский \ Подъезд к а.Урупский ;  км: 0+000-2+100 \ Облегченный ремонт - III вариант</v>
          </cell>
          <cell r="H226">
            <v>36982</v>
          </cell>
          <cell r="I226">
            <v>37165</v>
          </cell>
          <cell r="J226">
            <v>37072</v>
          </cell>
        </row>
        <row r="227">
          <cell r="A227">
            <v>225</v>
          </cell>
          <cell r="C227" t="str">
            <v>Успенский</v>
          </cell>
          <cell r="D227" t="str">
            <v>Подъезд к с.Маламино ;  км: 0+000-5+500</v>
          </cell>
          <cell r="F227" t="str">
            <v>Облегченный ремонт - III вариант</v>
          </cell>
          <cell r="G227" t="str">
            <v>Район: Успенский \ Подъезд к с.Маламино ;  км: 0+000-5+500 \ Облегченный ремонт - III вариант</v>
          </cell>
          <cell r="H227">
            <v>36982</v>
          </cell>
          <cell r="I227">
            <v>37165</v>
          </cell>
          <cell r="J227">
            <v>37072</v>
          </cell>
        </row>
        <row r="228">
          <cell r="A228">
            <v>226</v>
          </cell>
          <cell r="C228" t="str">
            <v>Успенский</v>
          </cell>
          <cell r="D228" t="str">
            <v>Подъезд к а/д "Армавир - Успенское - Невинномысск" ;  км: 0+000-4+540</v>
          </cell>
          <cell r="F228" t="str">
            <v>Облегченный ремонт - III вариант</v>
          </cell>
          <cell r="G228" t="str">
            <v>Район: Успенский \ Подъезд к а/д "Армавир - Успенское - Невинномысск" ;  км: 0+000-4+540 \ Облегченный ремонт - III вариант</v>
          </cell>
          <cell r="H228">
            <v>36982</v>
          </cell>
          <cell r="I228">
            <v>37165</v>
          </cell>
          <cell r="J228">
            <v>37072</v>
          </cell>
        </row>
        <row r="229">
          <cell r="A229">
            <v>227</v>
          </cell>
          <cell r="C229" t="str">
            <v>Успенский</v>
          </cell>
          <cell r="D229" t="str">
            <v>Армавир - Успенское - Невинномысск ;  км: 5+650-17+650</v>
          </cell>
          <cell r="F229" t="str">
            <v>Уширение земполотна и проезжей части (комплекс)</v>
          </cell>
          <cell r="G229" t="str">
            <v>Район: Успенский \ Армавир - Успенское - Невинномысск ;  км: 5+650-17+650 \ Уширение земполотна и проезжей части (комплекс)</v>
          </cell>
          <cell r="H229">
            <v>36982</v>
          </cell>
          <cell r="I229">
            <v>37165</v>
          </cell>
          <cell r="J229">
            <v>37072</v>
          </cell>
        </row>
        <row r="230">
          <cell r="A230">
            <v>228</v>
          </cell>
          <cell r="C230" t="str">
            <v>Успенский</v>
          </cell>
          <cell r="D230" t="str">
            <v>Подъезд к х.Зуево км 0+000-5+000</v>
          </cell>
          <cell r="F230" t="str">
            <v>Комплексный ремонт</v>
          </cell>
          <cell r="G230" t="str">
            <v>Район: Успенский \ Подъезд к х.Зуево км 0+000-5+000 \ Комплексный ремонт</v>
          </cell>
          <cell r="H230">
            <v>36982</v>
          </cell>
          <cell r="I230">
            <v>37165</v>
          </cell>
          <cell r="J230">
            <v>37072</v>
          </cell>
        </row>
        <row r="231">
          <cell r="A231">
            <v>229</v>
          </cell>
          <cell r="C231" t="str">
            <v>Успенский</v>
          </cell>
          <cell r="D231" t="str">
            <v>Коноково-Урупский-Трехсельский-Пантелеймоновское;км:28+600-33+000</v>
          </cell>
          <cell r="F231" t="str">
            <v>Уширение земполотна и проезжей части (комплекс)</v>
          </cell>
          <cell r="G231" t="str">
            <v>Район: Успенский \ Коноково-Урупский-Трехсельский-Пантелеймоновское;км:28+600-33+000 \ Уширение земполотна и проезжей части (комплекс)</v>
          </cell>
          <cell r="H231">
            <v>36982</v>
          </cell>
          <cell r="I231">
            <v>37165</v>
          </cell>
          <cell r="J231">
            <v>37072</v>
          </cell>
        </row>
        <row r="232">
          <cell r="A232">
            <v>230</v>
          </cell>
          <cell r="C232" t="str">
            <v>Усть-Лабинский</v>
          </cell>
          <cell r="D232" t="str">
            <v>Усть-Лабинск - Лабинск - Упорная ;  км: 12+400-20+600</v>
          </cell>
          <cell r="F232" t="str">
            <v>Поверхностная обработка (II вариант)</v>
          </cell>
          <cell r="G232" t="str">
            <v>Район: Усть-Лабинский \ Усть-Лабинск - Лабинск - Упорная ;  км: 12+400-20+600 \ Поверхностная обработка (II вариант)</v>
          </cell>
          <cell r="H232">
            <v>36982</v>
          </cell>
          <cell r="I232">
            <v>37165</v>
          </cell>
          <cell r="J232">
            <v>37072</v>
          </cell>
        </row>
        <row r="233">
          <cell r="A233">
            <v>231</v>
          </cell>
          <cell r="C233" t="str">
            <v>Щербиновский</v>
          </cell>
          <cell r="D233" t="str">
            <v>Подъезд к битумной базе ;  км: 0+000-0+900</v>
          </cell>
          <cell r="F233" t="str">
            <v>Поверхностная обработка (II вариант)</v>
          </cell>
          <cell r="G233" t="str">
            <v>Район: Щербиновский \ Подъезд к битумной базе ;  км: 0+000-0+900 \ Поверхностная обработка (II вариант)</v>
          </cell>
          <cell r="H233">
            <v>36982</v>
          </cell>
          <cell r="I233">
            <v>37165</v>
          </cell>
          <cell r="J233">
            <v>37072</v>
          </cell>
        </row>
        <row r="234">
          <cell r="A234">
            <v>232</v>
          </cell>
          <cell r="C234" t="str">
            <v>Щербиновский</v>
          </cell>
          <cell r="D234" t="str">
            <v>Подъезд к с.Глафировка ;  км: 0+000-1+500</v>
          </cell>
          <cell r="F234" t="str">
            <v>Поверхностная обработка (II вариант)</v>
          </cell>
          <cell r="G234" t="str">
            <v>Район: Щербиновский \ Подъезд к с.Глафировка ;  км: 0+000-1+500 \ Поверхностная обработка (II вариант)</v>
          </cell>
          <cell r="H234">
            <v>36982</v>
          </cell>
          <cell r="I234">
            <v>37165</v>
          </cell>
          <cell r="J234">
            <v>37072</v>
          </cell>
        </row>
        <row r="235">
          <cell r="A235">
            <v>233</v>
          </cell>
          <cell r="C235" t="str">
            <v xml:space="preserve"> Усть-Лабинский  р-н</v>
          </cell>
          <cell r="D235" t="str">
            <v>А/д Усть-Лабинск-Лабинск-Упорная на участке Усть-Лабинск-Некрасовская</v>
          </cell>
          <cell r="F235" t="str">
            <v>Реконструкция  автодороги</v>
          </cell>
          <cell r="G235" t="str">
            <v>Район:  Усть-Лабинский  р-н \ А/д Усть-Лабинск-Лабинск-Упорная на участке Усть-Лабинск-Некрасовская \ Реконструкция  автодороги</v>
          </cell>
          <cell r="H235">
            <v>36982</v>
          </cell>
          <cell r="I235">
            <v>37165</v>
          </cell>
          <cell r="J235">
            <v>37072</v>
          </cell>
        </row>
        <row r="236">
          <cell r="A236">
            <v>234</v>
          </cell>
          <cell r="C236" t="str">
            <v>Абинский</v>
          </cell>
          <cell r="D236" t="str">
            <v>Федоровская - Холмский - Новый ;  км: 5+302</v>
          </cell>
          <cell r="F236" t="str">
            <v>Восстановление, усиление, выправление, замена отдельных элементов пролетных строений</v>
          </cell>
          <cell r="G236" t="str">
            <v>Район: Абинский \ Федоровская - Холмский - Новый ;  км: 5+302 \ Восстановление, усиление, выправление, замена отдельных элементов пролетных строений</v>
          </cell>
          <cell r="H236">
            <v>36982</v>
          </cell>
          <cell r="I236">
            <v>37165</v>
          </cell>
          <cell r="J236">
            <v>37072</v>
          </cell>
        </row>
        <row r="237">
          <cell r="A237">
            <v>235</v>
          </cell>
          <cell r="C237" t="str">
            <v>Апшеронский</v>
          </cell>
          <cell r="D237" t="str">
            <v>Майкоп - Туапсе ;  км: 185+070</v>
          </cell>
          <cell r="F237" t="str">
            <v>Приведение габарита и грузоподъемности сооружений в соответствие с нормами для данной категории дороги</v>
          </cell>
          <cell r="G237" t="str">
            <v>Район: Апшеронский \ Майкоп - Туапсе ;  км: 185+070 \ Приведение габарита и грузоподъемности сооружений в соответствие с нормами для данной категории дороги</v>
          </cell>
          <cell r="H237">
            <v>36982</v>
          </cell>
          <cell r="I237">
            <v>37165</v>
          </cell>
          <cell r="J237">
            <v>37072</v>
          </cell>
        </row>
        <row r="238">
          <cell r="A238">
            <v>236</v>
          </cell>
          <cell r="C238" t="str">
            <v>Белореченский</v>
          </cell>
          <cell r="D238" t="str">
            <v>Мирный - Бжедуховская - Беляевский ;  км: 19+725</v>
          </cell>
          <cell r="F238" t="str">
            <v>Приведение габарита и грузоподъемности сооружений в соответствие с нормами для данной категории дороги</v>
          </cell>
          <cell r="G238" t="str">
            <v>Район: Белореченский \ Мирный - Бжедуховская - Беляевский ;  км: 19+725 \ Приведение габарита и грузоподъемности сооружений в соответствие с нормами для данной категории дороги</v>
          </cell>
          <cell r="H238">
            <v>36982</v>
          </cell>
          <cell r="I238">
            <v>37165</v>
          </cell>
          <cell r="J238">
            <v>37072</v>
          </cell>
        </row>
        <row r="239">
          <cell r="A239">
            <v>237</v>
          </cell>
          <cell r="C239" t="str">
            <v xml:space="preserve">Красноармейс.р-н </v>
          </cell>
          <cell r="D239" t="str">
            <v>Новомышастовская-Федоровский гидроузел км 0+000-11+200</v>
          </cell>
          <cell r="F239" t="str">
            <v>Приведение габарита и грузоподъемности сооружений в соответствие с нормами для данной категории дороги</v>
          </cell>
          <cell r="G239" t="str">
            <v>Район: Красноармейс.р-н  \ Новомышастовская-Федоровский гидроузел км 0+000-11+200 \ Приведение габарита и грузоподъемности сооружений в соответствие с нормами для данной категории дороги</v>
          </cell>
          <cell r="H239">
            <v>36982</v>
          </cell>
          <cell r="I239">
            <v>37165</v>
          </cell>
          <cell r="J239">
            <v>37072</v>
          </cell>
        </row>
        <row r="240">
          <cell r="A240">
            <v>238</v>
          </cell>
          <cell r="C240" t="str">
            <v>Курганинский</v>
          </cell>
          <cell r="D240" t="str">
            <v>Усть-Лабинск-Лабинск-Упорная км 74+270</v>
          </cell>
          <cell r="F240" t="str">
            <v>Приведение габарита и грузоподъемности сооружений в соответствие с нормами для данной категории дороги</v>
          </cell>
          <cell r="G240" t="str">
            <v>Район: Курганинский \ Усть-Лабинск-Лабинск-Упорная км 74+270 \ Приведение габарита и грузоподъемности сооружений в соответствие с нормами для данной категории дороги</v>
          </cell>
          <cell r="H240">
            <v>36982</v>
          </cell>
          <cell r="I240">
            <v>37165</v>
          </cell>
          <cell r="J240">
            <v>37072</v>
          </cell>
        </row>
        <row r="241">
          <cell r="A241">
            <v>239</v>
          </cell>
          <cell r="C241" t="str">
            <v>Курганинский</v>
          </cell>
          <cell r="D241" t="str">
            <v>Усть-Лабинск-Лабинск-Упорная км 70+000</v>
          </cell>
          <cell r="F241" t="str">
            <v>Приведение габарита и грузоподъемности сооружений в соответствие с нормами для данной категории дороги</v>
          </cell>
          <cell r="G241" t="str">
            <v>Район: Курганинский \ Усть-Лабинск-Лабинск-Упорная км 70+000 \ Приведение габарита и грузоподъемности сооружений в соответствие с нормами для данной категории дороги</v>
          </cell>
          <cell r="H241">
            <v>36982</v>
          </cell>
          <cell r="I241">
            <v>37165</v>
          </cell>
          <cell r="J241">
            <v>37072</v>
          </cell>
        </row>
        <row r="242">
          <cell r="A242">
            <v>240</v>
          </cell>
          <cell r="C242" t="str">
            <v>Курганинский</v>
          </cell>
          <cell r="D242" t="str">
            <v>Усть-Лабинск-Лабинск-Упорная км 59+350</v>
          </cell>
          <cell r="F242" t="str">
            <v>Приведение габарита и грузоподъемности сооружений в соответствие с нормами для данной категории дороги</v>
          </cell>
          <cell r="G242" t="str">
            <v>Район: Курганинский \ Усть-Лабинск-Лабинск-Упорная км 59+350 \ Приведение габарита и грузоподъемности сооружений в соответствие с нормами для данной категории дороги</v>
          </cell>
          <cell r="H242">
            <v>36982</v>
          </cell>
          <cell r="I242">
            <v>37165</v>
          </cell>
          <cell r="J242">
            <v>37072</v>
          </cell>
        </row>
        <row r="243">
          <cell r="A243">
            <v>241</v>
          </cell>
          <cell r="C243" t="str">
            <v>Кавказский</v>
          </cell>
          <cell r="D243" t="str">
            <v>Темрюк - Краснодар - Кропоткин ;  км: 288+680-288+753</v>
          </cell>
          <cell r="F243" t="str">
            <v>Восстановление, усиление, выправление, замена отдельных элементов пролетных строений</v>
          </cell>
          <cell r="G243" t="str">
            <v>Район: Кавказский \ Темрюк - Краснодар - Кропоткин ;  км: 288+680-288+753 \ Восстановление, усиление, выправление, замена отдельных элементов пролетных строений</v>
          </cell>
          <cell r="H243">
            <v>36982</v>
          </cell>
          <cell r="I243">
            <v>37165</v>
          </cell>
          <cell r="J243">
            <v>37072</v>
          </cell>
        </row>
        <row r="244">
          <cell r="A244">
            <v>242</v>
          </cell>
          <cell r="C244" t="str">
            <v>Новопокровский</v>
          </cell>
          <cell r="D244" t="str">
            <v xml:space="preserve"> Новопокровский-Плоская  км 7+900</v>
          </cell>
          <cell r="F244" t="str">
            <v>Приведение габарита и грузоподъемности сооружений в соответствие с нормами для данной категории дороги</v>
          </cell>
          <cell r="G244" t="str">
            <v>Район: Новопокровский \  Новопокровский-Плоская  км 7+900 \ Приведение габарита и грузоподъемности сооружений в соответствие с нормами для данной категории дороги</v>
          </cell>
          <cell r="H244">
            <v>36982</v>
          </cell>
          <cell r="I244">
            <v>37165</v>
          </cell>
          <cell r="J244">
            <v>37072</v>
          </cell>
        </row>
        <row r="245">
          <cell r="A245">
            <v>243</v>
          </cell>
          <cell r="C245" t="str">
            <v>Новопокровский</v>
          </cell>
          <cell r="D245" t="str">
            <v>Сальск-Тихорецк км 37+315</v>
          </cell>
          <cell r="F245" t="str">
            <v>Приведение габарита и грузоподъемности сооружений в соответствие с нормами для данной категории дороги</v>
          </cell>
          <cell r="G245" t="str">
            <v>Район: Новопокровский \ Сальск-Тихорецк км 37+315 \ Приведение габарита и грузоподъемности сооружений в соответствие с нормами для данной категории дороги</v>
          </cell>
          <cell r="H245">
            <v>36982</v>
          </cell>
          <cell r="I245">
            <v>37165</v>
          </cell>
          <cell r="J245">
            <v>37072</v>
          </cell>
        </row>
        <row r="246">
          <cell r="A246">
            <v>244</v>
          </cell>
          <cell r="C246" t="str">
            <v>Ленинградский</v>
          </cell>
          <cell r="D246" t="str">
            <v>Стародеревянковская - Ленинградская - Кисляковская ;  км: 40+300-40+320</v>
          </cell>
          <cell r="F246" t="str">
            <v>Приведение габарита и грузоподъемности сооружений в соответствие с нормами для данной категории дороги</v>
          </cell>
          <cell r="G246" t="str">
            <v>Район: Ленинградский \ Стародеревянковская - Ленинградская - Кисляковская ;  км: 40+300-40+320 \ Приведение габарита и грузоподъемности сооружений в соответствие с нормами для данной категории дороги</v>
          </cell>
          <cell r="H246">
            <v>36982</v>
          </cell>
          <cell r="I246">
            <v>37165</v>
          </cell>
          <cell r="J246">
            <v>37072</v>
          </cell>
        </row>
        <row r="247">
          <cell r="A247">
            <v>245</v>
          </cell>
          <cell r="C247" t="str">
            <v>Мостовский</v>
          </cell>
          <cell r="D247" t="str">
            <v>Мост через р.Псефирь на а/д Подъезд к ст.Костромская ; км: 11+550</v>
          </cell>
          <cell r="F247" t="str">
            <v>Приведение габарита и грузоподъемности сооружений в соответствие с нормами для данной категории дороги</v>
          </cell>
          <cell r="G247" t="str">
            <v>Район: Мостовский \ Мост через р.Псефирь на а/д Подъезд к ст.Костромская ; км: 11+550 \ Приведение габарита и грузоподъемности сооружений в соответствие с нормами для данной категории дороги</v>
          </cell>
          <cell r="H247">
            <v>36982</v>
          </cell>
          <cell r="I247">
            <v>37165</v>
          </cell>
          <cell r="J247">
            <v>37072</v>
          </cell>
        </row>
        <row r="248">
          <cell r="A248">
            <v>246</v>
          </cell>
          <cell r="C248" t="str">
            <v>Отрадненский</v>
          </cell>
          <cell r="D248" t="str">
            <v>Отрадная-Трактовый км 2+946</v>
          </cell>
          <cell r="F248" t="str">
            <v>Приведение габарита и грузоподъемности сооружений в соответствие с нормами для данной категории дороги</v>
          </cell>
          <cell r="G248" t="str">
            <v>Район: Отрадненский \ Отрадная-Трактовый км 2+946 \ Приведение габарита и грузоподъемности сооружений в соответствие с нормами для данной категории дороги</v>
          </cell>
          <cell r="H248">
            <v>36982</v>
          </cell>
          <cell r="I248">
            <v>37165</v>
          </cell>
          <cell r="J248">
            <v>37072</v>
          </cell>
        </row>
        <row r="249">
          <cell r="A249">
            <v>247</v>
          </cell>
          <cell r="C249" t="str">
            <v>Павловский</v>
          </cell>
          <cell r="D249" t="str">
            <v>Старолеушковская - Средний Челбас ;  км: 2+500</v>
          </cell>
          <cell r="F249" t="str">
            <v>Приведение габарита и грузоподъемности сооружений в соответствие с нормами для данной категории дороги</v>
          </cell>
          <cell r="G249" t="str">
            <v>Район: Павловский \ Старолеушковская - Средний Челбас ;  км: 2+500 \ Приведение габарита и грузоподъемности сооружений в соответствие с нормами для данной категории дороги</v>
          </cell>
          <cell r="H249">
            <v>36982</v>
          </cell>
          <cell r="I249">
            <v>37165</v>
          </cell>
          <cell r="J249">
            <v>37072</v>
          </cell>
        </row>
        <row r="250">
          <cell r="A250">
            <v>248</v>
          </cell>
          <cell r="C250" t="str">
            <v>г.Сочи</v>
          </cell>
          <cell r="D250" t="str">
            <v>Мацеста -Семеновка км 9+600</v>
          </cell>
          <cell r="F250" t="str">
            <v>Приведение габарита и грузоподъемности сооружений в соответствие с нормами для данной категории дороги</v>
          </cell>
          <cell r="G250" t="str">
            <v>Район: г.Сочи \ Мацеста -Семеновка км 9+600 \ Приведение габарита и грузоподъемности сооружений в соответствие с нормами для данной категории дороги</v>
          </cell>
          <cell r="H250">
            <v>36982</v>
          </cell>
          <cell r="I250">
            <v>37165</v>
          </cell>
          <cell r="J250">
            <v>37072</v>
          </cell>
        </row>
        <row r="251">
          <cell r="A251">
            <v>249</v>
          </cell>
          <cell r="C251" t="str">
            <v>Северский</v>
          </cell>
          <cell r="D251" t="str">
            <v>Свердловский-Северская-Убинская км 34+880</v>
          </cell>
          <cell r="F251" t="str">
            <v>Приведение габарита и грузоподъемности сооружений в соответствие с нормами для данной категории дороги</v>
          </cell>
          <cell r="G251" t="str">
            <v>Район: Северский \ Свердловский-Северская-Убинская км 34+880 \ Приведение габарита и грузоподъемности сооружений в соответствие с нормами для данной категории дороги</v>
          </cell>
          <cell r="H251">
            <v>36982</v>
          </cell>
          <cell r="I251">
            <v>37165</v>
          </cell>
          <cell r="J251">
            <v>37072</v>
          </cell>
        </row>
        <row r="252">
          <cell r="A252">
            <v>250</v>
          </cell>
          <cell r="C252" t="str">
            <v>Туапсинский</v>
          </cell>
          <cell r="D252" t="str">
            <v>Георгиевское Б.Псеушко;мост ч/р Суббота км 1+650</v>
          </cell>
          <cell r="F252" t="str">
            <v>Приведение габарита и грузоподъемности сооружений в соответствие с нормами для данной категории дороги</v>
          </cell>
          <cell r="G252" t="str">
            <v>Район: Туапсинский \ Георгиевское Б.Псеушко;мост ч/р Суббота км 1+650 \ Приведение габарита и грузоподъемности сооружений в соответствие с нормами для данной категории дороги</v>
          </cell>
          <cell r="H252">
            <v>36982</v>
          </cell>
          <cell r="I252">
            <v>37165</v>
          </cell>
          <cell r="J252">
            <v>37072</v>
          </cell>
        </row>
        <row r="253">
          <cell r="A253">
            <v>251</v>
          </cell>
          <cell r="C253" t="str">
            <v>Щербиновский</v>
          </cell>
          <cell r="D253" t="str">
            <v>Краснодар - Ейск ;  км: 203+150-203+240 ( путепровод)</v>
          </cell>
          <cell r="F253" t="str">
            <v>Восстановление, частичная или полная замена гидроизоляции</v>
          </cell>
          <cell r="G253" t="str">
            <v>Район: Щербиновский \ Краснодар - Ейск ;  км: 203+150-203+240 ( путепровод) \ Восстановление, частичная или полная замена гидроизоляции</v>
          </cell>
          <cell r="H253">
            <v>36982</v>
          </cell>
          <cell r="I253">
            <v>37165</v>
          </cell>
          <cell r="J253">
            <v>37072</v>
          </cell>
        </row>
        <row r="254">
          <cell r="G254" t="str">
            <v xml:space="preserve">Район:  \  \ </v>
          </cell>
          <cell r="H254">
            <v>36982</v>
          </cell>
          <cell r="I254">
            <v>37165</v>
          </cell>
          <cell r="J254">
            <v>37072</v>
          </cell>
        </row>
      </sheetData>
      <sheetData sheetId="1">
        <row r="4">
          <cell r="A4">
            <v>1</v>
          </cell>
        </row>
      </sheetData>
      <sheetData sheetId="2" refreshError="1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</row>
        <row r="5">
          <cell r="B5" t="str">
            <v>Район: Калининский \ Подъезд к с.Гришковское ;  км: 0+000-5+800 \ Поверхностная обработка (II вариант)</v>
          </cell>
          <cell r="K5">
            <v>96</v>
          </cell>
          <cell r="M5" t="str">
            <v>Калининский</v>
          </cell>
        </row>
        <row r="6">
          <cell r="A6" t="str">
            <v>96-1.1.</v>
          </cell>
          <cell r="B6" t="str">
            <v>Фонд заработной платы</v>
          </cell>
          <cell r="D6">
            <v>3010</v>
          </cell>
          <cell r="F6">
            <v>1832</v>
          </cell>
          <cell r="H6">
            <v>39143.760000000009</v>
          </cell>
          <cell r="I6">
            <v>21.366681222707427</v>
          </cell>
          <cell r="J6">
            <v>37311.760000000009</v>
          </cell>
          <cell r="K6">
            <v>96</v>
          </cell>
          <cell r="L6" t="str">
            <v>1.1.</v>
          </cell>
          <cell r="M6" t="str">
            <v>Калининский</v>
          </cell>
        </row>
        <row r="7">
          <cell r="A7" t="str">
            <v>96-1.1.1.</v>
          </cell>
          <cell r="B7" t="str">
            <v>Основные рабочие</v>
          </cell>
          <cell r="C7" t="str">
            <v>ч/ч</v>
          </cell>
          <cell r="D7">
            <v>1917</v>
          </cell>
          <cell r="E7">
            <v>0.55607720396452787</v>
          </cell>
          <cell r="F7">
            <v>1066</v>
          </cell>
          <cell r="G7">
            <v>12.38</v>
          </cell>
          <cell r="H7">
            <v>23732.460000000003</v>
          </cell>
          <cell r="I7">
            <v>22.263095684803005</v>
          </cell>
          <cell r="J7">
            <v>22666.460000000003</v>
          </cell>
          <cell r="K7">
            <v>96</v>
          </cell>
          <cell r="L7" t="str">
            <v>1.1.1.</v>
          </cell>
          <cell r="M7" t="str">
            <v>Калининский</v>
          </cell>
        </row>
        <row r="8">
          <cell r="A8" t="str">
            <v>96-1.1.2.</v>
          </cell>
          <cell r="B8" t="str">
            <v>Машинисты</v>
          </cell>
          <cell r="C8" t="str">
            <v>ч/ч</v>
          </cell>
          <cell r="D8">
            <v>1093</v>
          </cell>
          <cell r="E8">
            <v>0.70099999999999996</v>
          </cell>
          <cell r="F8">
            <v>766</v>
          </cell>
          <cell r="G8">
            <v>14.100000000000003</v>
          </cell>
          <cell r="H8">
            <v>15411.300000000003</v>
          </cell>
          <cell r="I8">
            <v>20.119190600522199</v>
          </cell>
          <cell r="J8">
            <v>14645.300000000003</v>
          </cell>
          <cell r="K8">
            <v>96</v>
          </cell>
          <cell r="L8" t="str">
            <v>1.1.2.</v>
          </cell>
          <cell r="M8" t="str">
            <v>Калининский</v>
          </cell>
        </row>
        <row r="9">
          <cell r="M9" t="str">
            <v>Калининский</v>
          </cell>
        </row>
        <row r="10">
          <cell r="A10" t="str">
            <v>96-1.2.</v>
          </cell>
          <cell r="B10" t="str">
            <v>Технические ресурсы по нормам СНиП (без зарботной платы машиниста)</v>
          </cell>
          <cell r="F10">
            <v>1853</v>
          </cell>
          <cell r="H10">
            <v>91468.513580000013</v>
          </cell>
          <cell r="I10">
            <v>49.362392649757155</v>
          </cell>
          <cell r="J10">
            <v>89615.382580000005</v>
          </cell>
          <cell r="K10">
            <v>96</v>
          </cell>
          <cell r="L10" t="str">
            <v>1.2.</v>
          </cell>
          <cell r="M10" t="str">
            <v>Калининский</v>
          </cell>
        </row>
        <row r="11">
          <cell r="A11">
            <v>1</v>
          </cell>
          <cell r="B11" t="str">
            <v>Автогрейдер средний</v>
          </cell>
          <cell r="C11" t="str">
            <v>м/ч</v>
          </cell>
          <cell r="D11">
            <v>39.31</v>
          </cell>
          <cell r="E11">
            <v>2.48</v>
          </cell>
          <cell r="F11">
            <v>97.488800000000012</v>
          </cell>
          <cell r="G11">
            <v>125.03</v>
          </cell>
          <cell r="H11">
            <v>4914.9293000000007</v>
          </cell>
          <cell r="I11">
            <v>50.41532258064516</v>
          </cell>
          <cell r="J11">
            <v>4817.4405000000006</v>
          </cell>
          <cell r="M11" t="str">
            <v>Калининский</v>
          </cell>
        </row>
        <row r="12">
          <cell r="A12">
            <v>2</v>
          </cell>
          <cell r="B12" t="str">
            <v>Щебнераспределитель</v>
          </cell>
          <cell r="C12" t="str">
            <v>м/ч</v>
          </cell>
          <cell r="D12">
            <v>36.119999999999997</v>
          </cell>
          <cell r="E12">
            <v>4.21</v>
          </cell>
          <cell r="F12">
            <v>152.06519999999998</v>
          </cell>
          <cell r="G12">
            <v>86.93</v>
          </cell>
          <cell r="H12">
            <v>3139.9115999999999</v>
          </cell>
          <cell r="I12">
            <v>20.648456057007127</v>
          </cell>
          <cell r="J12">
            <v>2987.8463999999999</v>
          </cell>
          <cell r="M12" t="str">
            <v>Калининский</v>
          </cell>
        </row>
        <row r="13">
          <cell r="A13">
            <v>3</v>
          </cell>
          <cell r="B13" t="str">
            <v>Автогудронатор 3500л</v>
          </cell>
          <cell r="C13" t="str">
            <v>м/ч</v>
          </cell>
          <cell r="D13">
            <v>15.48</v>
          </cell>
          <cell r="E13">
            <v>5.9930000000000003</v>
          </cell>
          <cell r="F13">
            <v>92.771640000000005</v>
          </cell>
          <cell r="G13">
            <v>77.02</v>
          </cell>
          <cell r="H13">
            <v>1192.2696000000001</v>
          </cell>
          <cell r="I13">
            <v>12.851660270315367</v>
          </cell>
          <cell r="J13">
            <v>1099.4979600000001</v>
          </cell>
          <cell r="M13" t="str">
            <v>Калининский</v>
          </cell>
        </row>
        <row r="14">
          <cell r="A14">
            <v>4</v>
          </cell>
          <cell r="B14" t="str">
            <v>Машина поливомоечная</v>
          </cell>
          <cell r="C14" t="str">
            <v>м/ч</v>
          </cell>
          <cell r="D14">
            <v>13.031999999999998</v>
          </cell>
          <cell r="E14">
            <v>6.16</v>
          </cell>
          <cell r="F14">
            <v>80.277119999999996</v>
          </cell>
          <cell r="G14">
            <v>197.6</v>
          </cell>
          <cell r="H14">
            <v>2575.1231999999995</v>
          </cell>
          <cell r="I14">
            <v>32.077922077922075</v>
          </cell>
          <cell r="J14">
            <v>2494.8460799999993</v>
          </cell>
          <cell r="M14" t="str">
            <v>Калининский</v>
          </cell>
        </row>
        <row r="15">
          <cell r="A15">
            <v>5</v>
          </cell>
          <cell r="B15" t="str">
            <v xml:space="preserve">Каток  самоходный гладкий 5 тн </v>
          </cell>
          <cell r="C15" t="str">
            <v>м/ч</v>
          </cell>
          <cell r="D15">
            <v>242.16</v>
          </cell>
          <cell r="E15">
            <v>1.81</v>
          </cell>
          <cell r="F15">
            <v>438.30959999999999</v>
          </cell>
          <cell r="G15">
            <v>80.16</v>
          </cell>
          <cell r="H15">
            <v>19411.545599999998</v>
          </cell>
          <cell r="I15">
            <v>44.287292817679557</v>
          </cell>
          <cell r="J15">
            <v>18973.235999999997</v>
          </cell>
          <cell r="M15" t="str">
            <v>Калининский</v>
          </cell>
        </row>
        <row r="16">
          <cell r="A16">
            <v>6</v>
          </cell>
          <cell r="B16" t="str">
            <v xml:space="preserve">Каток вальцевый  10 тн </v>
          </cell>
          <cell r="C16" t="str">
            <v>м/ч</v>
          </cell>
          <cell r="D16">
            <v>389.94</v>
          </cell>
          <cell r="E16">
            <v>1.69</v>
          </cell>
          <cell r="F16">
            <v>659</v>
          </cell>
          <cell r="G16">
            <v>117.14</v>
          </cell>
          <cell r="H16">
            <v>45677.571600000003</v>
          </cell>
          <cell r="I16">
            <v>69.313462215477998</v>
          </cell>
          <cell r="J16">
            <v>45018.571600000003</v>
          </cell>
          <cell r="M16" t="str">
            <v>Калининский</v>
          </cell>
        </row>
        <row r="17">
          <cell r="A17">
            <v>7</v>
          </cell>
          <cell r="B17" t="str">
            <v>Укладчик а/бетона</v>
          </cell>
          <cell r="C17" t="str">
            <v>м/ч</v>
          </cell>
          <cell r="D17">
            <v>77.063999999999993</v>
          </cell>
          <cell r="E17">
            <v>2.29</v>
          </cell>
          <cell r="F17">
            <v>176.47655999999998</v>
          </cell>
          <cell r="G17">
            <v>148.81</v>
          </cell>
          <cell r="H17">
            <v>11467.893839999999</v>
          </cell>
          <cell r="I17">
            <v>64.982532751091711</v>
          </cell>
          <cell r="J17">
            <v>11291.41728</v>
          </cell>
          <cell r="M17" t="str">
            <v>Калининский</v>
          </cell>
        </row>
        <row r="18">
          <cell r="A18">
            <v>8</v>
          </cell>
          <cell r="B18" t="str">
            <v>Пневмокаток 18тн</v>
          </cell>
          <cell r="C18" t="str">
            <v>м/ч</v>
          </cell>
          <cell r="D18">
            <v>5.04</v>
          </cell>
          <cell r="E18">
            <v>4.88</v>
          </cell>
          <cell r="F18">
            <v>24.595199999999998</v>
          </cell>
          <cell r="G18">
            <v>94.73</v>
          </cell>
          <cell r="H18">
            <v>477.43920000000003</v>
          </cell>
          <cell r="I18">
            <v>19.41188524590164</v>
          </cell>
          <cell r="J18">
            <v>452.84400000000005</v>
          </cell>
          <cell r="M18" t="str">
            <v>Калининский</v>
          </cell>
        </row>
        <row r="19">
          <cell r="A19">
            <v>9</v>
          </cell>
          <cell r="B19" t="str">
            <v>Автогудронатор 7000 л</v>
          </cell>
          <cell r="C19" t="str">
            <v>м/ч</v>
          </cell>
          <cell r="D19">
            <v>10.404</v>
          </cell>
          <cell r="E19">
            <v>7.22</v>
          </cell>
          <cell r="F19">
            <v>75.116879999999995</v>
          </cell>
          <cell r="G19">
            <v>141.41</v>
          </cell>
          <cell r="H19">
            <v>1471.22964</v>
          </cell>
          <cell r="I19">
            <v>19.585872576177287</v>
          </cell>
          <cell r="J19">
            <v>1396.11276</v>
          </cell>
          <cell r="M19" t="str">
            <v>Калининский</v>
          </cell>
        </row>
        <row r="20">
          <cell r="A20">
            <v>10</v>
          </cell>
          <cell r="B20" t="str">
            <v>Прочие машины</v>
          </cell>
          <cell r="C20" t="str">
            <v>руб</v>
          </cell>
          <cell r="D20">
            <v>57.03</v>
          </cell>
          <cell r="E20">
            <v>1</v>
          </cell>
          <cell r="F20">
            <v>57.03</v>
          </cell>
          <cell r="G20">
            <v>20</v>
          </cell>
          <cell r="H20">
            <v>1140.5999999999999</v>
          </cell>
          <cell r="I20">
            <v>19.999999999999996</v>
          </cell>
          <cell r="J20">
            <v>1083.57</v>
          </cell>
          <cell r="M20" t="str">
            <v>Калининский</v>
          </cell>
        </row>
        <row r="21">
          <cell r="M21" t="str">
            <v>Калининский</v>
          </cell>
        </row>
        <row r="22">
          <cell r="A22" t="str">
            <v>96-1.3.</v>
          </cell>
          <cell r="B22" t="str">
            <v>Материалы +транспортные расходы+заготовительно складские</v>
          </cell>
          <cell r="F22">
            <v>60357.78</v>
          </cell>
          <cell r="H22">
            <v>1917925.6</v>
          </cell>
          <cell r="I22">
            <v>31.775946696515348</v>
          </cell>
          <cell r="J22">
            <v>1857567.8199999998</v>
          </cell>
          <cell r="K22">
            <v>96</v>
          </cell>
          <cell r="L22" t="str">
            <v>1.3.</v>
          </cell>
          <cell r="M22" t="str">
            <v>Калининский</v>
          </cell>
        </row>
        <row r="23">
          <cell r="B23" t="str">
            <v>Материальные ресурсы по нормам СНиП</v>
          </cell>
          <cell r="F23">
            <v>44641.05</v>
          </cell>
          <cell r="H23">
            <v>1633625.1400000001</v>
          </cell>
          <cell r="I23">
            <v>36.594684488828108</v>
          </cell>
          <cell r="J23">
            <v>1588984.0899999999</v>
          </cell>
          <cell r="M23" t="str">
            <v>Калининский</v>
          </cell>
        </row>
        <row r="24">
          <cell r="A24">
            <v>1</v>
          </cell>
          <cell r="B24" t="str">
            <v>ПГС</v>
          </cell>
          <cell r="C24" t="str">
            <v>м3</v>
          </cell>
          <cell r="D24">
            <v>833</v>
          </cell>
          <cell r="E24">
            <v>1.9</v>
          </cell>
          <cell r="F24">
            <v>1582.6999999999998</v>
          </cell>
          <cell r="G24">
            <v>40.57</v>
          </cell>
          <cell r="H24">
            <v>33794.81</v>
          </cell>
          <cell r="I24">
            <v>21.352631578947371</v>
          </cell>
          <cell r="J24">
            <v>32212.109999999997</v>
          </cell>
          <cell r="M24" t="str">
            <v>Калининский</v>
          </cell>
        </row>
        <row r="25">
          <cell r="A25">
            <v>2</v>
          </cell>
          <cell r="B25" t="str">
            <v xml:space="preserve">Битум вязкий </v>
          </cell>
          <cell r="C25" t="str">
            <v>т</v>
          </cell>
          <cell r="D25">
            <v>30</v>
          </cell>
          <cell r="E25">
            <v>65.88</v>
          </cell>
          <cell r="F25">
            <v>1976.3999999999999</v>
          </cell>
          <cell r="G25">
            <v>3528.4</v>
          </cell>
          <cell r="H25">
            <v>105852</v>
          </cell>
          <cell r="I25">
            <v>53.557984213721923</v>
          </cell>
          <cell r="J25">
            <v>103875.6</v>
          </cell>
          <cell r="M25" t="str">
            <v>Калининский</v>
          </cell>
        </row>
        <row r="26">
          <cell r="A26">
            <v>3</v>
          </cell>
          <cell r="B26" t="str">
            <v>Битум жидкий</v>
          </cell>
          <cell r="C26" t="str">
            <v>т</v>
          </cell>
          <cell r="D26">
            <v>15</v>
          </cell>
          <cell r="E26">
            <v>63.37</v>
          </cell>
          <cell r="F26">
            <v>950.55</v>
          </cell>
          <cell r="G26">
            <v>3493.63</v>
          </cell>
          <cell r="H26">
            <v>52404.450000000004</v>
          </cell>
          <cell r="I26">
            <v>55.130661196149603</v>
          </cell>
          <cell r="J26">
            <v>51453.9</v>
          </cell>
          <cell r="M26" t="str">
            <v>Калининский</v>
          </cell>
        </row>
        <row r="27">
          <cell r="A27">
            <v>4</v>
          </cell>
          <cell r="B27" t="str">
            <v>М/з а/ бетонная смесь</v>
          </cell>
          <cell r="C27" t="str">
            <v>т</v>
          </cell>
          <cell r="D27">
            <v>1990</v>
          </cell>
          <cell r="E27">
            <v>14.84</v>
          </cell>
          <cell r="F27">
            <v>29531.599999999999</v>
          </cell>
          <cell r="G27">
            <v>569.5</v>
          </cell>
          <cell r="H27">
            <v>1133305</v>
          </cell>
          <cell r="I27">
            <v>38.376010781671162</v>
          </cell>
          <cell r="J27">
            <v>1103773.3999999999</v>
          </cell>
          <cell r="M27" t="str">
            <v>Калининский</v>
          </cell>
        </row>
        <row r="28">
          <cell r="A28">
            <v>5</v>
          </cell>
          <cell r="B28" t="str">
            <v>Черный щебень</v>
          </cell>
          <cell r="C28" t="str">
            <v>т</v>
          </cell>
          <cell r="D28">
            <v>826</v>
          </cell>
          <cell r="E28">
            <v>12.799999999999999</v>
          </cell>
          <cell r="F28">
            <v>10572.8</v>
          </cell>
          <cell r="G28">
            <v>372.88</v>
          </cell>
          <cell r="H28">
            <v>307998.88</v>
          </cell>
          <cell r="I28">
            <v>29.131250000000001</v>
          </cell>
          <cell r="J28">
            <v>297426.08</v>
          </cell>
          <cell r="M28" t="str">
            <v>Калининский</v>
          </cell>
        </row>
        <row r="29">
          <cell r="A29">
            <v>6</v>
          </cell>
          <cell r="B29" t="str">
            <v>Прочие материалы</v>
          </cell>
          <cell r="C29" t="str">
            <v>руб.</v>
          </cell>
          <cell r="D29">
            <v>27</v>
          </cell>
          <cell r="E29">
            <v>1</v>
          </cell>
          <cell r="F29">
            <v>27</v>
          </cell>
          <cell r="G29">
            <v>10</v>
          </cell>
          <cell r="H29">
            <v>270</v>
          </cell>
          <cell r="I29">
            <v>10</v>
          </cell>
          <cell r="J29">
            <v>243</v>
          </cell>
          <cell r="M29" t="str">
            <v>Калининский</v>
          </cell>
        </row>
        <row r="30">
          <cell r="A30">
            <v>7</v>
          </cell>
          <cell r="F30">
            <v>0</v>
          </cell>
          <cell r="H30">
            <v>0</v>
          </cell>
          <cell r="I30" t="e">
            <v>#DIV/0!</v>
          </cell>
          <cell r="J30">
            <v>0</v>
          </cell>
          <cell r="M30" t="str">
            <v>Калининский</v>
          </cell>
        </row>
        <row r="31">
          <cell r="A31">
            <v>8</v>
          </cell>
          <cell r="F31">
            <v>0</v>
          </cell>
          <cell r="H31">
            <v>0</v>
          </cell>
          <cell r="I31" t="e">
            <v>#DIV/0!</v>
          </cell>
          <cell r="J31">
            <v>0</v>
          </cell>
          <cell r="M31" t="str">
            <v>Калининский</v>
          </cell>
        </row>
        <row r="32">
          <cell r="A32">
            <v>9</v>
          </cell>
          <cell r="F32">
            <v>0</v>
          </cell>
          <cell r="H32">
            <v>0</v>
          </cell>
          <cell r="I32" t="e">
            <v>#DIV/0!</v>
          </cell>
          <cell r="J32">
            <v>0</v>
          </cell>
          <cell r="M32" t="str">
            <v>Калининский</v>
          </cell>
        </row>
        <row r="33">
          <cell r="A33">
            <v>10</v>
          </cell>
          <cell r="F33">
            <v>0</v>
          </cell>
          <cell r="H33">
            <v>0</v>
          </cell>
          <cell r="I33" t="e">
            <v>#DIV/0!</v>
          </cell>
          <cell r="J33">
            <v>0</v>
          </cell>
          <cell r="M33" t="str">
            <v>Калининский</v>
          </cell>
        </row>
        <row r="34">
          <cell r="M34" t="str">
            <v>Калининский</v>
          </cell>
        </row>
        <row r="35">
          <cell r="B35" t="str">
            <v>Транспортировка материалов, т (вид транспорта, км)</v>
          </cell>
          <cell r="F35">
            <v>15716.73</v>
          </cell>
          <cell r="H35">
            <v>284300.46000000002</v>
          </cell>
          <cell r="I35">
            <v>18.089033787562681</v>
          </cell>
          <cell r="J35">
            <v>268583.73</v>
          </cell>
          <cell r="M35" t="str">
            <v>Калининский</v>
          </cell>
        </row>
        <row r="36">
          <cell r="A36">
            <v>1</v>
          </cell>
          <cell r="B36" t="str">
            <v>ПГС - 154 км</v>
          </cell>
          <cell r="C36" t="str">
            <v>т</v>
          </cell>
          <cell r="D36">
            <v>1499</v>
          </cell>
          <cell r="E36">
            <v>7.31</v>
          </cell>
          <cell r="F36">
            <v>10957.689999999999</v>
          </cell>
          <cell r="G36">
            <v>150.97999999999999</v>
          </cell>
          <cell r="H36">
            <v>226319.02</v>
          </cell>
          <cell r="I36">
            <v>20.653898768809849</v>
          </cell>
          <cell r="J36">
            <v>215361.33</v>
          </cell>
          <cell r="M36" t="str">
            <v>Калининский</v>
          </cell>
        </row>
        <row r="37">
          <cell r="A37">
            <v>2</v>
          </cell>
          <cell r="B37" t="str">
            <v>Битум вязкий -57 км</v>
          </cell>
          <cell r="C37" t="str">
            <v>т</v>
          </cell>
          <cell r="D37">
            <v>0</v>
          </cell>
          <cell r="E37">
            <v>0</v>
          </cell>
          <cell r="F37">
            <v>0</v>
          </cell>
          <cell r="G37">
            <v>105.29600000000001</v>
          </cell>
          <cell r="H37">
            <v>0</v>
          </cell>
          <cell r="I37" t="e">
            <v>#DIV/0!</v>
          </cell>
          <cell r="J37">
            <v>0</v>
          </cell>
          <cell r="M37" t="str">
            <v>Калининский</v>
          </cell>
        </row>
        <row r="38">
          <cell r="A38">
            <v>3</v>
          </cell>
          <cell r="B38" t="str">
            <v>Битум жидкий-57 км</v>
          </cell>
          <cell r="C38" t="str">
            <v>т</v>
          </cell>
          <cell r="D38">
            <v>0</v>
          </cell>
          <cell r="E38">
            <v>0</v>
          </cell>
          <cell r="F38">
            <v>0</v>
          </cell>
          <cell r="G38">
            <v>105.29600000000001</v>
          </cell>
          <cell r="H38">
            <v>0</v>
          </cell>
          <cell r="I38" t="e">
            <v>#DIV/0!</v>
          </cell>
          <cell r="J38">
            <v>0</v>
          </cell>
          <cell r="M38" t="str">
            <v>Калининский</v>
          </cell>
        </row>
        <row r="39">
          <cell r="A39">
            <v>4</v>
          </cell>
          <cell r="B39" t="str">
            <v>М/з а/ бетонная смесь -17 км</v>
          </cell>
          <cell r="C39" t="str">
            <v>т</v>
          </cell>
          <cell r="D39">
            <v>1990</v>
          </cell>
          <cell r="E39">
            <v>1.69</v>
          </cell>
          <cell r="F39">
            <v>3363.1</v>
          </cell>
          <cell r="G39">
            <v>20.59</v>
          </cell>
          <cell r="H39">
            <v>40974.1</v>
          </cell>
          <cell r="I39">
            <v>12.183431952662723</v>
          </cell>
          <cell r="J39">
            <v>37611</v>
          </cell>
          <cell r="M39" t="str">
            <v>Калининский</v>
          </cell>
        </row>
        <row r="40">
          <cell r="A40">
            <v>5</v>
          </cell>
          <cell r="B40" t="str">
            <v>Черный щебень-17 км</v>
          </cell>
          <cell r="C40" t="str">
            <v>т</v>
          </cell>
          <cell r="D40">
            <v>826</v>
          </cell>
          <cell r="E40">
            <v>1.69</v>
          </cell>
          <cell r="F40">
            <v>1395.94</v>
          </cell>
          <cell r="G40">
            <v>20.59</v>
          </cell>
          <cell r="H40">
            <v>17007.34</v>
          </cell>
          <cell r="I40">
            <v>12.183431952662721</v>
          </cell>
          <cell r="J40">
            <v>15611.4</v>
          </cell>
          <cell r="M40" t="str">
            <v>Калининский</v>
          </cell>
        </row>
        <row r="41">
          <cell r="A41">
            <v>6</v>
          </cell>
          <cell r="C41" t="str">
            <v>т</v>
          </cell>
          <cell r="H41">
            <v>0</v>
          </cell>
          <cell r="I41" t="e">
            <v>#DIV/0!</v>
          </cell>
          <cell r="J41">
            <v>0</v>
          </cell>
          <cell r="M41" t="str">
            <v>Калининский</v>
          </cell>
        </row>
        <row r="42">
          <cell r="A42">
            <v>7</v>
          </cell>
          <cell r="C42" t="str">
            <v>т</v>
          </cell>
          <cell r="F42">
            <v>0</v>
          </cell>
          <cell r="H42">
            <v>0</v>
          </cell>
          <cell r="I42" t="e">
            <v>#DIV/0!</v>
          </cell>
          <cell r="J42">
            <v>0</v>
          </cell>
          <cell r="M42" t="str">
            <v>Калининский</v>
          </cell>
        </row>
        <row r="43">
          <cell r="A43">
            <v>8</v>
          </cell>
          <cell r="C43" t="str">
            <v>т</v>
          </cell>
          <cell r="F43">
            <v>0</v>
          </cell>
          <cell r="H43">
            <v>0</v>
          </cell>
          <cell r="I43" t="e">
            <v>#DIV/0!</v>
          </cell>
          <cell r="J43">
            <v>0</v>
          </cell>
          <cell r="M43" t="str">
            <v>Калининский</v>
          </cell>
        </row>
        <row r="44">
          <cell r="A44">
            <v>9</v>
          </cell>
          <cell r="C44" t="str">
            <v>т</v>
          </cell>
          <cell r="F44">
            <v>0</v>
          </cell>
          <cell r="H44">
            <v>0</v>
          </cell>
          <cell r="I44" t="e">
            <v>#DIV/0!</v>
          </cell>
          <cell r="J44">
            <v>0</v>
          </cell>
          <cell r="M44" t="str">
            <v>Калининский</v>
          </cell>
        </row>
        <row r="45">
          <cell r="A45">
            <v>10</v>
          </cell>
          <cell r="C45" t="str">
            <v>т</v>
          </cell>
          <cell r="F45">
            <v>0</v>
          </cell>
          <cell r="H45">
            <v>0</v>
          </cell>
          <cell r="I45" t="e">
            <v>#DIV/0!</v>
          </cell>
          <cell r="J45">
            <v>0</v>
          </cell>
          <cell r="M45" t="str">
            <v>Калининский</v>
          </cell>
        </row>
        <row r="46">
          <cell r="M46" t="str">
            <v>Калининский</v>
          </cell>
        </row>
        <row r="47">
          <cell r="B47" t="str">
            <v>Заготовительно-складские расходы</v>
          </cell>
          <cell r="F47">
            <v>0</v>
          </cell>
          <cell r="H47">
            <v>0</v>
          </cell>
          <cell r="I47" t="e">
            <v>#DIV/0!</v>
          </cell>
          <cell r="J47">
            <v>0</v>
          </cell>
          <cell r="M47" t="str">
            <v>Калининский</v>
          </cell>
        </row>
        <row r="48">
          <cell r="A48">
            <v>1</v>
          </cell>
          <cell r="B48" t="str">
            <v>ПГС</v>
          </cell>
          <cell r="C48" t="str">
            <v>руб</v>
          </cell>
          <cell r="E48">
            <v>12540.39</v>
          </cell>
          <cell r="F48">
            <v>0</v>
          </cell>
          <cell r="H48">
            <v>0</v>
          </cell>
          <cell r="I48" t="e">
            <v>#DIV/0!</v>
          </cell>
          <cell r="J48">
            <v>0</v>
          </cell>
          <cell r="M48" t="str">
            <v>Калининский</v>
          </cell>
        </row>
        <row r="49">
          <cell r="A49">
            <v>2</v>
          </cell>
          <cell r="B49" t="str">
            <v xml:space="preserve">Битум вязкий </v>
          </cell>
          <cell r="C49" t="str">
            <v>руб</v>
          </cell>
          <cell r="E49">
            <v>1976.3999999999999</v>
          </cell>
          <cell r="F49">
            <v>0</v>
          </cell>
          <cell r="H49">
            <v>0</v>
          </cell>
          <cell r="I49" t="e">
            <v>#DIV/0!</v>
          </cell>
          <cell r="J49">
            <v>0</v>
          </cell>
          <cell r="M49" t="str">
            <v>Калининский</v>
          </cell>
        </row>
        <row r="50">
          <cell r="A50">
            <v>3</v>
          </cell>
          <cell r="B50" t="str">
            <v>Битум жидкий</v>
          </cell>
          <cell r="C50" t="str">
            <v>руб</v>
          </cell>
          <cell r="E50">
            <v>950.55</v>
          </cell>
          <cell r="F50">
            <v>0</v>
          </cell>
          <cell r="H50">
            <v>0</v>
          </cell>
          <cell r="I50" t="e">
            <v>#DIV/0!</v>
          </cell>
          <cell r="J50">
            <v>0</v>
          </cell>
          <cell r="M50" t="str">
            <v>Калининский</v>
          </cell>
        </row>
        <row r="51">
          <cell r="A51">
            <v>4</v>
          </cell>
          <cell r="B51" t="str">
            <v>М/з а/ бетонная смесь</v>
          </cell>
          <cell r="C51" t="str">
            <v>руб</v>
          </cell>
          <cell r="E51">
            <v>32894.699999999997</v>
          </cell>
          <cell r="F51">
            <v>0</v>
          </cell>
          <cell r="H51">
            <v>0</v>
          </cell>
          <cell r="I51" t="e">
            <v>#DIV/0!</v>
          </cell>
          <cell r="J51">
            <v>0</v>
          </cell>
          <cell r="M51" t="str">
            <v>Калининский</v>
          </cell>
        </row>
        <row r="52">
          <cell r="A52">
            <v>5</v>
          </cell>
          <cell r="B52" t="str">
            <v>Черный щебень</v>
          </cell>
          <cell r="C52" t="str">
            <v>руб</v>
          </cell>
          <cell r="E52">
            <v>11968.74</v>
          </cell>
          <cell r="F52">
            <v>0</v>
          </cell>
          <cell r="H52">
            <v>0</v>
          </cell>
          <cell r="I52" t="e">
            <v>#DIV/0!</v>
          </cell>
          <cell r="J52">
            <v>0</v>
          </cell>
          <cell r="M52" t="str">
            <v>Калининский</v>
          </cell>
        </row>
        <row r="53">
          <cell r="A53">
            <v>6</v>
          </cell>
          <cell r="B53" t="str">
            <v>Прочие материалы</v>
          </cell>
          <cell r="C53" t="str">
            <v>руб</v>
          </cell>
          <cell r="E53">
            <v>27</v>
          </cell>
          <cell r="F53">
            <v>0</v>
          </cell>
          <cell r="H53">
            <v>0</v>
          </cell>
          <cell r="I53" t="e">
            <v>#DIV/0!</v>
          </cell>
          <cell r="J53">
            <v>0</v>
          </cell>
          <cell r="M53" t="str">
            <v>Калининский</v>
          </cell>
        </row>
        <row r="54">
          <cell r="A54">
            <v>7</v>
          </cell>
          <cell r="B54">
            <v>0</v>
          </cell>
          <cell r="C54" t="str">
            <v>руб</v>
          </cell>
          <cell r="E54">
            <v>0</v>
          </cell>
          <cell r="F54">
            <v>0</v>
          </cell>
          <cell r="H54">
            <v>0</v>
          </cell>
          <cell r="I54" t="e">
            <v>#DIV/0!</v>
          </cell>
          <cell r="J54">
            <v>0</v>
          </cell>
          <cell r="M54" t="str">
            <v>Калининский</v>
          </cell>
        </row>
        <row r="55">
          <cell r="A55">
            <v>8</v>
          </cell>
          <cell r="B55">
            <v>0</v>
          </cell>
          <cell r="C55" t="str">
            <v>руб</v>
          </cell>
          <cell r="E55">
            <v>0</v>
          </cell>
          <cell r="F55">
            <v>0</v>
          </cell>
          <cell r="H55">
            <v>0</v>
          </cell>
          <cell r="I55" t="e">
            <v>#DIV/0!</v>
          </cell>
          <cell r="J55">
            <v>0</v>
          </cell>
          <cell r="M55" t="str">
            <v>Калининский</v>
          </cell>
        </row>
        <row r="56">
          <cell r="A56">
            <v>9</v>
          </cell>
          <cell r="B56">
            <v>0</v>
          </cell>
          <cell r="C56" t="str">
            <v>руб</v>
          </cell>
          <cell r="E56">
            <v>0</v>
          </cell>
          <cell r="F56">
            <v>0</v>
          </cell>
          <cell r="H56">
            <v>0</v>
          </cell>
          <cell r="I56" t="e">
            <v>#DIV/0!</v>
          </cell>
          <cell r="J56">
            <v>0</v>
          </cell>
          <cell r="M56" t="str">
            <v>Калининский</v>
          </cell>
        </row>
        <row r="57">
          <cell r="A57">
            <v>10</v>
          </cell>
          <cell r="B57">
            <v>0</v>
          </cell>
          <cell r="C57" t="str">
            <v>руб</v>
          </cell>
          <cell r="E57">
            <v>0</v>
          </cell>
          <cell r="F57">
            <v>0</v>
          </cell>
          <cell r="H57">
            <v>0</v>
          </cell>
          <cell r="I57" t="e">
            <v>#DIV/0!</v>
          </cell>
          <cell r="J57">
            <v>0</v>
          </cell>
          <cell r="M57" t="str">
            <v>Калининский</v>
          </cell>
        </row>
        <row r="58">
          <cell r="M58" t="str">
            <v>Калининский</v>
          </cell>
        </row>
        <row r="59">
          <cell r="M59" t="str">
            <v>Калининский</v>
          </cell>
        </row>
        <row r="60">
          <cell r="B60" t="str">
            <v>Составил:______________________________</v>
          </cell>
          <cell r="M60" t="str">
            <v>Калининский</v>
          </cell>
        </row>
        <row r="61">
          <cell r="B61" t="str">
            <v>Начальник ТДО: ________________________</v>
          </cell>
          <cell r="M61" t="str">
            <v>Калининский</v>
          </cell>
        </row>
        <row r="62">
          <cell r="B62" t="str">
            <v>Район: Калининский \ Калининская - Новониколаевская ;  км: 11+000-17+800 ; 29+200-30+500 \ Поверхностная обработка (II вариант)</v>
          </cell>
          <cell r="K62">
            <v>97</v>
          </cell>
          <cell r="M62" t="str">
            <v>Калининский</v>
          </cell>
        </row>
        <row r="63">
          <cell r="A63" t="str">
            <v>97-1.1.</v>
          </cell>
          <cell r="B63" t="str">
            <v>Фонд заработной платы</v>
          </cell>
          <cell r="D63">
            <v>4973</v>
          </cell>
          <cell r="F63">
            <v>3029</v>
          </cell>
          <cell r="H63">
            <v>64290.657000000007</v>
          </cell>
          <cell r="I63">
            <v>21.225043578738859</v>
          </cell>
          <cell r="J63">
            <v>61261.657000000007</v>
          </cell>
          <cell r="K63">
            <v>97</v>
          </cell>
          <cell r="L63" t="str">
            <v>1.1.</v>
          </cell>
          <cell r="M63" t="str">
            <v>Калининский</v>
          </cell>
        </row>
        <row r="64">
          <cell r="A64" t="str">
            <v>97-1.1.1.</v>
          </cell>
          <cell r="B64" t="str">
            <v>Основные рабочие</v>
          </cell>
          <cell r="C64" t="str">
            <v>ч/ч</v>
          </cell>
          <cell r="D64">
            <v>3137</v>
          </cell>
          <cell r="E64">
            <v>0.55403251514185525</v>
          </cell>
          <cell r="F64">
            <v>1738</v>
          </cell>
          <cell r="G64">
            <v>12.201000000000002</v>
          </cell>
          <cell r="H64">
            <v>38274.537000000004</v>
          </cell>
          <cell r="I64">
            <v>22.022173187571923</v>
          </cell>
          <cell r="J64">
            <v>36536.537000000004</v>
          </cell>
          <cell r="K64">
            <v>97</v>
          </cell>
          <cell r="L64" t="str">
            <v>1.1.1.</v>
          </cell>
          <cell r="M64" t="str">
            <v>Калининский</v>
          </cell>
        </row>
        <row r="65">
          <cell r="A65" t="str">
            <v>97-1.1.2.</v>
          </cell>
          <cell r="B65" t="str">
            <v>Машинисты</v>
          </cell>
          <cell r="C65" t="str">
            <v>ч/ч</v>
          </cell>
          <cell r="D65">
            <v>1836</v>
          </cell>
          <cell r="E65">
            <v>0.70315904139433549</v>
          </cell>
          <cell r="F65">
            <v>1291</v>
          </cell>
          <cell r="G65">
            <v>14.17</v>
          </cell>
          <cell r="H65">
            <v>26016.12</v>
          </cell>
          <cell r="I65">
            <v>20.151913245546087</v>
          </cell>
          <cell r="J65">
            <v>24725.119999999999</v>
          </cell>
          <cell r="K65">
            <v>97</v>
          </cell>
          <cell r="L65" t="str">
            <v>1.1.2.</v>
          </cell>
          <cell r="M65" t="str">
            <v>Калининский</v>
          </cell>
        </row>
        <row r="66">
          <cell r="M66" t="str">
            <v>Калининский</v>
          </cell>
        </row>
        <row r="67">
          <cell r="A67" t="str">
            <v>97-1.2.</v>
          </cell>
          <cell r="B67" t="str">
            <v>Технические ресурсы по нормам СНиП (без зарботной платы машиниста)</v>
          </cell>
          <cell r="F67">
            <v>3125.0059999999999</v>
          </cell>
          <cell r="H67">
            <v>175448.81647999998</v>
          </cell>
          <cell r="I67">
            <v>56.143513478054118</v>
          </cell>
          <cell r="J67">
            <v>172323.81047999999</v>
          </cell>
          <cell r="K67">
            <v>97</v>
          </cell>
          <cell r="L67" t="str">
            <v>1.2.</v>
          </cell>
          <cell r="M67" t="str">
            <v>Калининский</v>
          </cell>
        </row>
        <row r="68">
          <cell r="A68">
            <v>1</v>
          </cell>
          <cell r="B68" t="str">
            <v>Автогрейдер средний</v>
          </cell>
          <cell r="C68" t="str">
            <v>м/ч</v>
          </cell>
          <cell r="D68">
            <v>84.24</v>
          </cell>
          <cell r="E68">
            <v>2.48</v>
          </cell>
          <cell r="F68">
            <v>208.9152</v>
          </cell>
          <cell r="G68">
            <v>125.03</v>
          </cell>
          <cell r="H68">
            <v>10532.527199999999</v>
          </cell>
          <cell r="I68">
            <v>50.415322580645153</v>
          </cell>
          <cell r="J68">
            <v>10323.611999999999</v>
          </cell>
          <cell r="M68" t="str">
            <v>Калининский</v>
          </cell>
        </row>
        <row r="69">
          <cell r="A69">
            <v>2</v>
          </cell>
          <cell r="B69" t="str">
            <v>Щебнераспределитель</v>
          </cell>
          <cell r="C69" t="str">
            <v>м/ч</v>
          </cell>
          <cell r="D69">
            <v>77.195999999999998</v>
          </cell>
          <cell r="E69">
            <v>4.21</v>
          </cell>
          <cell r="F69">
            <v>325</v>
          </cell>
          <cell r="G69">
            <v>86.93</v>
          </cell>
          <cell r="H69">
            <v>6710.6482800000003</v>
          </cell>
          <cell r="I69">
            <v>20.648148553846156</v>
          </cell>
          <cell r="J69">
            <v>6385.6482800000003</v>
          </cell>
          <cell r="M69" t="str">
            <v>Калининский</v>
          </cell>
        </row>
        <row r="70">
          <cell r="A70">
            <v>3</v>
          </cell>
          <cell r="B70" t="str">
            <v>Автогудронатор 3500л</v>
          </cell>
          <cell r="C70" t="str">
            <v>м/ч</v>
          </cell>
          <cell r="D70">
            <v>29.52</v>
          </cell>
          <cell r="E70">
            <v>5.99</v>
          </cell>
          <cell r="F70">
            <v>176.82480000000001</v>
          </cell>
          <cell r="G70">
            <v>77.02</v>
          </cell>
          <cell r="H70">
            <v>2273.6304</v>
          </cell>
          <cell r="I70">
            <v>12.858096828046744</v>
          </cell>
          <cell r="J70">
            <v>2096.8056000000001</v>
          </cell>
          <cell r="M70" t="str">
            <v>Калининский</v>
          </cell>
        </row>
        <row r="71">
          <cell r="A71">
            <v>4</v>
          </cell>
          <cell r="B71" t="str">
            <v>Машина поливомоечная</v>
          </cell>
          <cell r="C71" t="str">
            <v>м/ч</v>
          </cell>
          <cell r="D71">
            <v>27.936</v>
          </cell>
          <cell r="E71">
            <v>6.16</v>
          </cell>
          <cell r="F71">
            <v>172.08575999999999</v>
          </cell>
          <cell r="G71">
            <v>197.6</v>
          </cell>
          <cell r="H71">
            <v>5520.1535999999996</v>
          </cell>
          <cell r="I71">
            <v>32.077922077922075</v>
          </cell>
          <cell r="J71">
            <v>5348.0678399999997</v>
          </cell>
          <cell r="M71" t="str">
            <v>Калининский</v>
          </cell>
        </row>
        <row r="72">
          <cell r="A72">
            <v>5</v>
          </cell>
          <cell r="B72" t="str">
            <v xml:space="preserve">Каток  самоходный гладкий 5 тн </v>
          </cell>
          <cell r="C72" t="str">
            <v>м/ч</v>
          </cell>
          <cell r="D72">
            <v>460.63200000000001</v>
          </cell>
          <cell r="E72">
            <v>1.81</v>
          </cell>
          <cell r="F72">
            <v>833.74392</v>
          </cell>
          <cell r="G72">
            <v>80.16</v>
          </cell>
          <cell r="H72">
            <v>36924.261119999996</v>
          </cell>
          <cell r="I72">
            <v>44.28729281767955</v>
          </cell>
          <cell r="J72">
            <v>36090.517199999995</v>
          </cell>
          <cell r="M72" t="str">
            <v>Калининский</v>
          </cell>
        </row>
        <row r="73">
          <cell r="A73">
            <v>6</v>
          </cell>
          <cell r="B73" t="str">
            <v xml:space="preserve">Каток вальцевый  10 тн </v>
          </cell>
          <cell r="C73" t="str">
            <v>м/ч</v>
          </cell>
          <cell r="D73">
            <v>705.40800000000002</v>
          </cell>
          <cell r="E73">
            <v>1.69</v>
          </cell>
          <cell r="F73">
            <v>680</v>
          </cell>
          <cell r="G73">
            <v>117.14</v>
          </cell>
          <cell r="H73">
            <v>82631.493119999999</v>
          </cell>
          <cell r="I73">
            <v>121.51690164705882</v>
          </cell>
          <cell r="J73">
            <v>81951.493119999999</v>
          </cell>
          <cell r="M73" t="str">
            <v>Калининский</v>
          </cell>
        </row>
        <row r="74">
          <cell r="A74">
            <v>7</v>
          </cell>
          <cell r="B74" t="str">
            <v>Укладчик а/бетона</v>
          </cell>
          <cell r="C74" t="str">
            <v>м/ч</v>
          </cell>
          <cell r="D74">
            <v>158.93999999999997</v>
          </cell>
          <cell r="E74">
            <v>2.29</v>
          </cell>
          <cell r="F74">
            <v>364</v>
          </cell>
          <cell r="G74">
            <v>148.81</v>
          </cell>
          <cell r="H74">
            <v>23651.861399999994</v>
          </cell>
          <cell r="I74">
            <v>64.977641208791198</v>
          </cell>
          <cell r="J74">
            <v>23287.861399999994</v>
          </cell>
          <cell r="M74" t="str">
            <v>Калининский</v>
          </cell>
        </row>
        <row r="75">
          <cell r="A75">
            <v>8</v>
          </cell>
          <cell r="B75" t="str">
            <v>Пневмокаток 18тн</v>
          </cell>
          <cell r="C75" t="str">
            <v>м/ч</v>
          </cell>
          <cell r="D75">
            <v>12.96</v>
          </cell>
          <cell r="E75">
            <v>4.88</v>
          </cell>
          <cell r="F75">
            <v>63.244800000000005</v>
          </cell>
          <cell r="G75">
            <v>94.73</v>
          </cell>
          <cell r="H75">
            <v>1227.7008000000001</v>
          </cell>
          <cell r="I75">
            <v>19.41188524590164</v>
          </cell>
          <cell r="J75">
            <v>1164.4560000000001</v>
          </cell>
          <cell r="M75" t="str">
            <v>Калининский</v>
          </cell>
        </row>
        <row r="76">
          <cell r="A76">
            <v>9</v>
          </cell>
          <cell r="B76" t="str">
            <v>Автогудронатор 7000 л</v>
          </cell>
          <cell r="C76" t="str">
            <v>м/ч</v>
          </cell>
          <cell r="D76">
            <v>15.815999999999999</v>
          </cell>
          <cell r="E76">
            <v>7.22</v>
          </cell>
          <cell r="F76">
            <v>114.19151999999998</v>
          </cell>
          <cell r="G76">
            <v>141.41</v>
          </cell>
          <cell r="H76">
            <v>2236.5405599999999</v>
          </cell>
          <cell r="I76">
            <v>19.585872576177287</v>
          </cell>
          <cell r="J76">
            <v>2122.3490400000001</v>
          </cell>
          <cell r="M76" t="str">
            <v>Калининский</v>
          </cell>
        </row>
        <row r="77">
          <cell r="A77">
            <v>10</v>
          </cell>
          <cell r="B77" t="str">
            <v>Прочие машины</v>
          </cell>
          <cell r="C77" t="str">
            <v>руб</v>
          </cell>
          <cell r="D77">
            <v>187</v>
          </cell>
          <cell r="E77">
            <v>1</v>
          </cell>
          <cell r="F77">
            <v>187</v>
          </cell>
          <cell r="G77">
            <v>20</v>
          </cell>
          <cell r="H77">
            <v>3740</v>
          </cell>
          <cell r="I77">
            <v>20</v>
          </cell>
          <cell r="J77">
            <v>3553</v>
          </cell>
          <cell r="M77" t="str">
            <v>Калининский</v>
          </cell>
        </row>
        <row r="78">
          <cell r="M78" t="str">
            <v>Калининский</v>
          </cell>
        </row>
        <row r="79">
          <cell r="A79" t="str">
            <v>97-1.3.</v>
          </cell>
          <cell r="B79" t="str">
            <v>Материалы</v>
          </cell>
          <cell r="F79">
            <v>93960.54</v>
          </cell>
          <cell r="H79">
            <v>2958439.76</v>
          </cell>
          <cell r="I79">
            <v>31.485980817053626</v>
          </cell>
          <cell r="J79">
            <v>2864479.2199999997</v>
          </cell>
          <cell r="K79">
            <v>97</v>
          </cell>
          <cell r="L79" t="str">
            <v>1.3.</v>
          </cell>
          <cell r="M79" t="str">
            <v>Калининский</v>
          </cell>
        </row>
        <row r="80">
          <cell r="B80" t="str">
            <v>Материальные ресурсы по нормам СНиП</v>
          </cell>
          <cell r="F80">
            <v>67774.299999999988</v>
          </cell>
          <cell r="H80">
            <v>2480403.56</v>
          </cell>
          <cell r="I80">
            <v>36.597995995532237</v>
          </cell>
          <cell r="J80">
            <v>2412629.2599999998</v>
          </cell>
          <cell r="M80" t="str">
            <v>Калининский</v>
          </cell>
        </row>
        <row r="81">
          <cell r="A81">
            <v>1</v>
          </cell>
          <cell r="B81" t="str">
            <v>ПГС</v>
          </cell>
          <cell r="C81" t="str">
            <v>м3</v>
          </cell>
          <cell r="D81">
            <v>1190</v>
          </cell>
          <cell r="E81">
            <v>1.9</v>
          </cell>
          <cell r="F81">
            <v>2261</v>
          </cell>
          <cell r="G81">
            <v>40.57</v>
          </cell>
          <cell r="H81">
            <v>48278.3</v>
          </cell>
          <cell r="I81">
            <v>21.352631578947371</v>
          </cell>
          <cell r="J81">
            <v>46017.3</v>
          </cell>
          <cell r="M81" t="str">
            <v>Калининский</v>
          </cell>
        </row>
        <row r="82">
          <cell r="A82">
            <v>2</v>
          </cell>
          <cell r="B82" t="str">
            <v xml:space="preserve">Битум вязкий </v>
          </cell>
          <cell r="C82" t="str">
            <v>т</v>
          </cell>
          <cell r="D82">
            <v>45</v>
          </cell>
          <cell r="E82">
            <v>65.88</v>
          </cell>
          <cell r="F82">
            <v>2964.6</v>
          </cell>
          <cell r="G82">
            <v>3528.4</v>
          </cell>
          <cell r="H82">
            <v>158778</v>
          </cell>
          <cell r="I82">
            <v>53.557984213721923</v>
          </cell>
          <cell r="J82">
            <v>155813.4</v>
          </cell>
          <cell r="M82" t="str">
            <v>Калининский</v>
          </cell>
        </row>
        <row r="83">
          <cell r="A83">
            <v>3</v>
          </cell>
          <cell r="B83" t="str">
            <v>Битум жидкий</v>
          </cell>
          <cell r="C83" t="str">
            <v>т</v>
          </cell>
          <cell r="D83">
            <v>22</v>
          </cell>
          <cell r="E83">
            <v>63.37</v>
          </cell>
          <cell r="F83">
            <v>1394.1399999999999</v>
          </cell>
          <cell r="G83">
            <v>3493.63</v>
          </cell>
          <cell r="H83">
            <v>76859.86</v>
          </cell>
          <cell r="I83">
            <v>55.130661196149603</v>
          </cell>
          <cell r="J83">
            <v>75465.72</v>
          </cell>
          <cell r="M83" t="str">
            <v>Калининский</v>
          </cell>
        </row>
        <row r="84">
          <cell r="A84">
            <v>4</v>
          </cell>
          <cell r="B84" t="str">
            <v>М/з а/ бетонная смесь</v>
          </cell>
          <cell r="C84" t="str">
            <v>т</v>
          </cell>
          <cell r="D84">
            <v>3034</v>
          </cell>
          <cell r="E84">
            <v>14.84</v>
          </cell>
          <cell r="F84">
            <v>45024.56</v>
          </cell>
          <cell r="G84">
            <v>569.5</v>
          </cell>
          <cell r="H84">
            <v>1727863</v>
          </cell>
          <cell r="I84">
            <v>38.376010781671162</v>
          </cell>
          <cell r="J84">
            <v>1682838.44</v>
          </cell>
          <cell r="M84" t="str">
            <v>Калининский</v>
          </cell>
        </row>
        <row r="85">
          <cell r="A85">
            <v>5</v>
          </cell>
          <cell r="B85" t="str">
            <v>черный щебень</v>
          </cell>
          <cell r="C85" t="str">
            <v>т</v>
          </cell>
          <cell r="D85">
            <v>1255</v>
          </cell>
          <cell r="E85">
            <v>12.8</v>
          </cell>
          <cell r="F85">
            <v>16064</v>
          </cell>
          <cell r="G85">
            <v>372.88</v>
          </cell>
          <cell r="H85">
            <v>467964.4</v>
          </cell>
          <cell r="I85">
            <v>29.131250000000001</v>
          </cell>
          <cell r="J85">
            <v>451900.4</v>
          </cell>
          <cell r="M85" t="str">
            <v>Калининский</v>
          </cell>
        </row>
        <row r="86">
          <cell r="A86">
            <v>6</v>
          </cell>
          <cell r="B86" t="str">
            <v>Прочие материалы</v>
          </cell>
          <cell r="C86" t="str">
            <v>руб.</v>
          </cell>
          <cell r="D86">
            <v>66</v>
          </cell>
          <cell r="E86">
            <v>1</v>
          </cell>
          <cell r="F86">
            <v>66</v>
          </cell>
          <cell r="G86">
            <v>10</v>
          </cell>
          <cell r="H86">
            <v>660</v>
          </cell>
          <cell r="I86">
            <v>10</v>
          </cell>
          <cell r="J86">
            <v>594</v>
          </cell>
          <cell r="M86" t="str">
            <v>Калининский</v>
          </cell>
        </row>
        <row r="87">
          <cell r="A87">
            <v>7</v>
          </cell>
          <cell r="F87">
            <v>0</v>
          </cell>
          <cell r="H87">
            <v>0</v>
          </cell>
          <cell r="I87" t="e">
            <v>#DIV/0!</v>
          </cell>
          <cell r="J87">
            <v>0</v>
          </cell>
          <cell r="M87" t="str">
            <v>Калининский</v>
          </cell>
        </row>
        <row r="88">
          <cell r="A88">
            <v>8</v>
          </cell>
          <cell r="F88">
            <v>0</v>
          </cell>
          <cell r="H88">
            <v>0</v>
          </cell>
          <cell r="I88" t="e">
            <v>#DIV/0!</v>
          </cell>
          <cell r="J88">
            <v>0</v>
          </cell>
          <cell r="M88" t="str">
            <v>Калининский</v>
          </cell>
        </row>
        <row r="89">
          <cell r="A89">
            <v>9</v>
          </cell>
          <cell r="F89">
            <v>0</v>
          </cell>
          <cell r="H89">
            <v>0</v>
          </cell>
          <cell r="I89" t="e">
            <v>#DIV/0!</v>
          </cell>
          <cell r="J89">
            <v>0</v>
          </cell>
          <cell r="M89" t="str">
            <v>Калининский</v>
          </cell>
        </row>
        <row r="90">
          <cell r="A90">
            <v>10</v>
          </cell>
          <cell r="F90">
            <v>0</v>
          </cell>
          <cell r="H90">
            <v>0</v>
          </cell>
          <cell r="I90" t="e">
            <v>#DIV/0!</v>
          </cell>
          <cell r="J90">
            <v>0</v>
          </cell>
          <cell r="M90" t="str">
            <v>Калининский</v>
          </cell>
        </row>
        <row r="91">
          <cell r="M91" t="str">
            <v>Калининский</v>
          </cell>
        </row>
        <row r="92">
          <cell r="B92" t="str">
            <v>Транспортировка материалов, т (вид транспорта, км)</v>
          </cell>
          <cell r="F92">
            <v>26186.240000000002</v>
          </cell>
          <cell r="H92">
            <v>478036.19999999995</v>
          </cell>
          <cell r="I92">
            <v>18.255243975461919</v>
          </cell>
          <cell r="J92">
            <v>451849.95999999996</v>
          </cell>
          <cell r="M92" t="str">
            <v>Калининский</v>
          </cell>
        </row>
        <row r="93">
          <cell r="A93">
            <v>1</v>
          </cell>
          <cell r="B93" t="str">
            <v>ПГС - 163 км</v>
          </cell>
          <cell r="C93" t="str">
            <v>т</v>
          </cell>
          <cell r="D93">
            <v>2142</v>
          </cell>
          <cell r="E93">
            <v>7.82</v>
          </cell>
          <cell r="F93">
            <v>16750.440000000002</v>
          </cell>
          <cell r="G93">
            <v>160.69999999999999</v>
          </cell>
          <cell r="H93">
            <v>344219.39999999997</v>
          </cell>
          <cell r="I93">
            <v>20.549872122762142</v>
          </cell>
          <cell r="J93">
            <v>327468.95999999996</v>
          </cell>
          <cell r="M93" t="str">
            <v>Калининский</v>
          </cell>
        </row>
        <row r="94">
          <cell r="A94">
            <v>2</v>
          </cell>
          <cell r="B94" t="str">
            <v>Битум вязкий -66 км</v>
          </cell>
          <cell r="C94" t="str">
            <v>т</v>
          </cell>
          <cell r="D94">
            <v>0</v>
          </cell>
          <cell r="F94">
            <v>0</v>
          </cell>
          <cell r="G94">
            <v>121.72800000000001</v>
          </cell>
          <cell r="H94">
            <v>0</v>
          </cell>
          <cell r="I94" t="e">
            <v>#DIV/0!</v>
          </cell>
          <cell r="J94">
            <v>0</v>
          </cell>
          <cell r="M94" t="str">
            <v>Калининский</v>
          </cell>
        </row>
        <row r="95">
          <cell r="A95">
            <v>3</v>
          </cell>
          <cell r="B95" t="str">
            <v>Битум жидкий-66 км</v>
          </cell>
          <cell r="C95" t="str">
            <v>т</v>
          </cell>
          <cell r="D95">
            <v>0</v>
          </cell>
          <cell r="F95">
            <v>0</v>
          </cell>
          <cell r="G95">
            <v>121.72800000000001</v>
          </cell>
          <cell r="H95">
            <v>0</v>
          </cell>
          <cell r="I95" t="e">
            <v>#DIV/0!</v>
          </cell>
          <cell r="J95">
            <v>0</v>
          </cell>
          <cell r="M95" t="str">
            <v>Калининский</v>
          </cell>
        </row>
        <row r="96">
          <cell r="A96">
            <v>4</v>
          </cell>
          <cell r="B96" t="str">
            <v>М/з а/ бетонная смесь -26 км</v>
          </cell>
          <cell r="C96" t="str">
            <v>т</v>
          </cell>
          <cell r="D96">
            <v>3034</v>
          </cell>
          <cell r="E96">
            <v>2.2000000000000002</v>
          </cell>
          <cell r="F96">
            <v>6674.8</v>
          </cell>
          <cell r="G96">
            <v>31.2</v>
          </cell>
          <cell r="H96">
            <v>94660.800000000003</v>
          </cell>
          <cell r="I96">
            <v>14.181818181818182</v>
          </cell>
          <cell r="J96">
            <v>87986</v>
          </cell>
          <cell r="M96" t="str">
            <v>Калининский</v>
          </cell>
        </row>
        <row r="97">
          <cell r="A97">
            <v>5</v>
          </cell>
          <cell r="B97" t="str">
            <v>Черный щебень-26 км</v>
          </cell>
          <cell r="C97" t="str">
            <v>т</v>
          </cell>
          <cell r="D97">
            <v>1255</v>
          </cell>
          <cell r="E97">
            <v>2.2000000000000002</v>
          </cell>
          <cell r="F97">
            <v>2761</v>
          </cell>
          <cell r="G97">
            <v>31.2</v>
          </cell>
          <cell r="H97">
            <v>39156</v>
          </cell>
          <cell r="I97">
            <v>14.181818181818182</v>
          </cell>
          <cell r="J97">
            <v>36395</v>
          </cell>
          <cell r="M97" t="str">
            <v>Калининский</v>
          </cell>
        </row>
        <row r="98">
          <cell r="A98">
            <v>6</v>
          </cell>
          <cell r="C98" t="str">
            <v>т</v>
          </cell>
          <cell r="H98">
            <v>0</v>
          </cell>
          <cell r="I98" t="e">
            <v>#DIV/0!</v>
          </cell>
          <cell r="J98">
            <v>0</v>
          </cell>
          <cell r="M98" t="str">
            <v>Калининский</v>
          </cell>
        </row>
        <row r="99">
          <cell r="A99">
            <v>7</v>
          </cell>
          <cell r="C99" t="str">
            <v>т</v>
          </cell>
          <cell r="F99">
            <v>0</v>
          </cell>
          <cell r="H99">
            <v>0</v>
          </cell>
          <cell r="I99" t="e">
            <v>#DIV/0!</v>
          </cell>
          <cell r="J99">
            <v>0</v>
          </cell>
          <cell r="M99" t="str">
            <v>Калининский</v>
          </cell>
        </row>
        <row r="100">
          <cell r="A100">
            <v>8</v>
          </cell>
          <cell r="C100" t="str">
            <v>т</v>
          </cell>
          <cell r="F100">
            <v>0</v>
          </cell>
          <cell r="H100">
            <v>0</v>
          </cell>
          <cell r="I100" t="e">
            <v>#DIV/0!</v>
          </cell>
          <cell r="J100">
            <v>0</v>
          </cell>
          <cell r="M100" t="str">
            <v>Калининский</v>
          </cell>
        </row>
        <row r="101">
          <cell r="A101">
            <v>9</v>
          </cell>
          <cell r="C101" t="str">
            <v>т</v>
          </cell>
          <cell r="F101">
            <v>0</v>
          </cell>
          <cell r="H101">
            <v>0</v>
          </cell>
          <cell r="I101" t="e">
            <v>#DIV/0!</v>
          </cell>
          <cell r="J101">
            <v>0</v>
          </cell>
          <cell r="M101" t="str">
            <v>Калининский</v>
          </cell>
        </row>
        <row r="102">
          <cell r="A102">
            <v>10</v>
          </cell>
          <cell r="C102" t="str">
            <v>т</v>
          </cell>
          <cell r="F102">
            <v>0</v>
          </cell>
          <cell r="H102">
            <v>0</v>
          </cell>
          <cell r="I102" t="e">
            <v>#DIV/0!</v>
          </cell>
          <cell r="J102">
            <v>0</v>
          </cell>
          <cell r="M102" t="str">
            <v>Калининский</v>
          </cell>
        </row>
        <row r="103">
          <cell r="M103" t="str">
            <v>Калининский</v>
          </cell>
        </row>
        <row r="104">
          <cell r="B104" t="str">
            <v>Заготовительно-складские расходы</v>
          </cell>
          <cell r="F104">
            <v>0</v>
          </cell>
          <cell r="H104">
            <v>0</v>
          </cell>
          <cell r="I104" t="e">
            <v>#DIV/0!</v>
          </cell>
          <cell r="J104">
            <v>0</v>
          </cell>
          <cell r="M104" t="str">
            <v>Калининский</v>
          </cell>
        </row>
        <row r="105">
          <cell r="A105">
            <v>1</v>
          </cell>
          <cell r="B105" t="str">
            <v>ПГС</v>
          </cell>
          <cell r="C105" t="str">
            <v>руб</v>
          </cell>
          <cell r="E105">
            <v>19011.440000000002</v>
          </cell>
          <cell r="F105">
            <v>0</v>
          </cell>
          <cell r="H105">
            <v>0</v>
          </cell>
          <cell r="I105" t="e">
            <v>#DIV/0!</v>
          </cell>
          <cell r="J105">
            <v>0</v>
          </cell>
          <cell r="M105" t="str">
            <v>Калининский</v>
          </cell>
        </row>
        <row r="106">
          <cell r="A106">
            <v>2</v>
          </cell>
          <cell r="B106" t="str">
            <v xml:space="preserve">Битум вязкий </v>
          </cell>
          <cell r="C106" t="str">
            <v>руб</v>
          </cell>
          <cell r="E106">
            <v>2964.6</v>
          </cell>
          <cell r="F106">
            <v>0</v>
          </cell>
          <cell r="H106">
            <v>0</v>
          </cell>
          <cell r="I106" t="e">
            <v>#DIV/0!</v>
          </cell>
          <cell r="J106">
            <v>0</v>
          </cell>
          <cell r="M106" t="str">
            <v>Калининский</v>
          </cell>
        </row>
        <row r="107">
          <cell r="A107">
            <v>3</v>
          </cell>
          <cell r="B107" t="str">
            <v>Битум жидкий</v>
          </cell>
          <cell r="C107" t="str">
            <v>руб</v>
          </cell>
          <cell r="E107">
            <v>1394.1399999999999</v>
          </cell>
          <cell r="F107">
            <v>0</v>
          </cell>
          <cell r="H107">
            <v>0</v>
          </cell>
          <cell r="I107" t="e">
            <v>#DIV/0!</v>
          </cell>
          <cell r="J107">
            <v>0</v>
          </cell>
          <cell r="M107" t="str">
            <v>Калининский</v>
          </cell>
        </row>
        <row r="108">
          <cell r="A108">
            <v>4</v>
          </cell>
          <cell r="B108" t="str">
            <v>М/з а/ бетонная смесь</v>
          </cell>
          <cell r="C108" t="str">
            <v>руб</v>
          </cell>
          <cell r="E108">
            <v>51699.360000000001</v>
          </cell>
          <cell r="F108">
            <v>0</v>
          </cell>
          <cell r="H108">
            <v>0</v>
          </cell>
          <cell r="I108" t="e">
            <v>#DIV/0!</v>
          </cell>
          <cell r="J108">
            <v>0</v>
          </cell>
          <cell r="M108" t="str">
            <v>Калининский</v>
          </cell>
        </row>
        <row r="109">
          <cell r="A109">
            <v>5</v>
          </cell>
          <cell r="B109" t="str">
            <v>черный щебень</v>
          </cell>
          <cell r="C109" t="str">
            <v>руб</v>
          </cell>
          <cell r="E109">
            <v>18825</v>
          </cell>
          <cell r="F109">
            <v>0</v>
          </cell>
          <cell r="H109">
            <v>0</v>
          </cell>
          <cell r="I109" t="e">
            <v>#DIV/0!</v>
          </cell>
          <cell r="J109">
            <v>0</v>
          </cell>
          <cell r="M109" t="str">
            <v>Калининский</v>
          </cell>
        </row>
        <row r="110">
          <cell r="A110">
            <v>6</v>
          </cell>
          <cell r="B110" t="str">
            <v>Прочие материалы</v>
          </cell>
          <cell r="C110" t="str">
            <v>руб</v>
          </cell>
          <cell r="E110">
            <v>66</v>
          </cell>
          <cell r="F110">
            <v>0</v>
          </cell>
          <cell r="H110">
            <v>0</v>
          </cell>
          <cell r="I110" t="e">
            <v>#DIV/0!</v>
          </cell>
          <cell r="J110">
            <v>0</v>
          </cell>
          <cell r="M110" t="str">
            <v>Калининский</v>
          </cell>
        </row>
        <row r="111">
          <cell r="A111">
            <v>7</v>
          </cell>
          <cell r="B111">
            <v>0</v>
          </cell>
          <cell r="C111" t="str">
            <v>руб</v>
          </cell>
          <cell r="E111">
            <v>0</v>
          </cell>
          <cell r="F111">
            <v>0</v>
          </cell>
          <cell r="H111">
            <v>0</v>
          </cell>
          <cell r="I111" t="e">
            <v>#DIV/0!</v>
          </cell>
          <cell r="J111">
            <v>0</v>
          </cell>
          <cell r="M111" t="str">
            <v>Калининский</v>
          </cell>
        </row>
        <row r="112">
          <cell r="A112">
            <v>8</v>
          </cell>
          <cell r="B112">
            <v>0</v>
          </cell>
          <cell r="C112" t="str">
            <v>руб</v>
          </cell>
          <cell r="E112">
            <v>0</v>
          </cell>
          <cell r="F112">
            <v>0</v>
          </cell>
          <cell r="H112">
            <v>0</v>
          </cell>
          <cell r="I112" t="e">
            <v>#DIV/0!</v>
          </cell>
          <cell r="J112">
            <v>0</v>
          </cell>
          <cell r="M112" t="str">
            <v>Калининский</v>
          </cell>
        </row>
        <row r="113">
          <cell r="A113">
            <v>9</v>
          </cell>
          <cell r="B113">
            <v>0</v>
          </cell>
          <cell r="C113" t="str">
            <v>руб</v>
          </cell>
          <cell r="E113">
            <v>0</v>
          </cell>
          <cell r="F113">
            <v>0</v>
          </cell>
          <cell r="H113">
            <v>0</v>
          </cell>
          <cell r="I113" t="e">
            <v>#DIV/0!</v>
          </cell>
          <cell r="J113">
            <v>0</v>
          </cell>
          <cell r="M113" t="str">
            <v>Калининский</v>
          </cell>
        </row>
        <row r="114">
          <cell r="A114">
            <v>10</v>
          </cell>
          <cell r="B114">
            <v>0</v>
          </cell>
          <cell r="C114" t="str">
            <v>руб</v>
          </cell>
          <cell r="E114">
            <v>0</v>
          </cell>
          <cell r="F114">
            <v>0</v>
          </cell>
          <cell r="H114">
            <v>0</v>
          </cell>
          <cell r="I114" t="e">
            <v>#DIV/0!</v>
          </cell>
          <cell r="J114">
            <v>0</v>
          </cell>
          <cell r="M114" t="str">
            <v>Калининский</v>
          </cell>
        </row>
        <row r="115">
          <cell r="M115" t="str">
            <v>Калининский</v>
          </cell>
        </row>
        <row r="116">
          <cell r="M116" t="str">
            <v>Калининский</v>
          </cell>
        </row>
        <row r="117">
          <cell r="B117" t="str">
            <v>Составил:______________________________</v>
          </cell>
          <cell r="M117" t="str">
            <v>Калининский</v>
          </cell>
        </row>
        <row r="118">
          <cell r="M118" t="str">
            <v>Калининский</v>
          </cell>
        </row>
        <row r="119">
          <cell r="B119" t="str">
            <v>Начальник ТДО: ________________________</v>
          </cell>
        </row>
        <row r="120">
          <cell r="B120" t="str">
            <v>Район: Калининский \  Нововеличковская-Долиновское ;  км: 10+170-12+560 \ Поверхностная обработка (II вариант)</v>
          </cell>
          <cell r="K120">
            <v>98</v>
          </cell>
          <cell r="M120" t="str">
            <v>Калининский</v>
          </cell>
        </row>
        <row r="121">
          <cell r="A121" t="str">
            <v>98-1.1.</v>
          </cell>
          <cell r="B121" t="str">
            <v>Фонд заработной платы</v>
          </cell>
          <cell r="D121">
            <v>1098</v>
          </cell>
          <cell r="F121">
            <v>669</v>
          </cell>
          <cell r="H121">
            <v>14314.61</v>
          </cell>
          <cell r="I121">
            <v>21.397025411061286</v>
          </cell>
          <cell r="J121">
            <v>13645.61</v>
          </cell>
          <cell r="K121">
            <v>98</v>
          </cell>
          <cell r="L121" t="str">
            <v>1.1.</v>
          </cell>
          <cell r="M121" t="str">
            <v>Калининский</v>
          </cell>
        </row>
        <row r="122">
          <cell r="A122" t="str">
            <v>98-1.1.1.</v>
          </cell>
          <cell r="B122" t="str">
            <v>Основные рабочие</v>
          </cell>
          <cell r="C122" t="str">
            <v>ч/ч</v>
          </cell>
          <cell r="D122">
            <v>695</v>
          </cell>
          <cell r="E122">
            <v>0.55539568345323742</v>
          </cell>
          <cell r="F122">
            <v>386</v>
          </cell>
          <cell r="G122">
            <v>12.38</v>
          </cell>
          <cell r="H122">
            <v>8604.1</v>
          </cell>
          <cell r="I122">
            <v>22.29041450777202</v>
          </cell>
          <cell r="J122">
            <v>8218.1</v>
          </cell>
          <cell r="K122">
            <v>98</v>
          </cell>
          <cell r="L122" t="str">
            <v>1.1.1.</v>
          </cell>
          <cell r="M122" t="str">
            <v>Калининский</v>
          </cell>
        </row>
        <row r="123">
          <cell r="A123" t="str">
            <v>98-1.1.2.</v>
          </cell>
          <cell r="B123" t="str">
            <v>Машинисты</v>
          </cell>
          <cell r="C123" t="str">
            <v>ч/ч</v>
          </cell>
          <cell r="D123">
            <v>403</v>
          </cell>
          <cell r="E123">
            <v>0.70199999999999996</v>
          </cell>
          <cell r="F123">
            <v>283</v>
          </cell>
          <cell r="G123">
            <v>14.17</v>
          </cell>
          <cell r="H123">
            <v>5710.51</v>
          </cell>
          <cell r="I123">
            <v>20.178480565371025</v>
          </cell>
          <cell r="J123">
            <v>5427.51</v>
          </cell>
          <cell r="K123">
            <v>98</v>
          </cell>
          <cell r="L123" t="str">
            <v>1.1.2.</v>
          </cell>
          <cell r="M123" t="str">
            <v>Калининский</v>
          </cell>
        </row>
        <row r="124">
          <cell r="M124" t="str">
            <v>Калининский</v>
          </cell>
        </row>
        <row r="125">
          <cell r="A125" t="str">
            <v>98-1.2.</v>
          </cell>
          <cell r="B125" t="str">
            <v>Технические ресурсы по нормам СНиП (без зарботной платы машиниста)</v>
          </cell>
          <cell r="F125">
            <v>681</v>
          </cell>
          <cell r="H125">
            <v>32591.996979999996</v>
          </cell>
          <cell r="I125">
            <v>47.859026402349478</v>
          </cell>
          <cell r="J125">
            <v>31910.891900000002</v>
          </cell>
          <cell r="K125">
            <v>98</v>
          </cell>
          <cell r="L125" t="str">
            <v>1.2.</v>
          </cell>
          <cell r="M125" t="str">
            <v>Калининский</v>
          </cell>
        </row>
        <row r="126">
          <cell r="A126">
            <v>1</v>
          </cell>
          <cell r="B126" t="str">
            <v>Автогрейдер средний</v>
          </cell>
          <cell r="C126" t="str">
            <v>м/ч</v>
          </cell>
          <cell r="D126">
            <v>16.850000000000001</v>
          </cell>
          <cell r="E126">
            <v>2.48</v>
          </cell>
          <cell r="F126">
            <v>41.788000000000004</v>
          </cell>
          <cell r="G126">
            <v>125.03</v>
          </cell>
          <cell r="H126">
            <v>2106.7555000000002</v>
          </cell>
          <cell r="I126">
            <v>50.41532258064516</v>
          </cell>
          <cell r="J126">
            <v>2064.9675000000002</v>
          </cell>
          <cell r="M126" t="str">
            <v>Калининский</v>
          </cell>
        </row>
        <row r="127">
          <cell r="A127">
            <v>2</v>
          </cell>
          <cell r="B127" t="str">
            <v>Щебнераспределитель</v>
          </cell>
          <cell r="C127" t="str">
            <v>м/ч</v>
          </cell>
          <cell r="D127">
            <v>12.6</v>
          </cell>
          <cell r="E127">
            <v>4.21</v>
          </cell>
          <cell r="F127">
            <v>53.045999999999999</v>
          </cell>
          <cell r="G127">
            <v>86.93</v>
          </cell>
          <cell r="H127">
            <v>1095.318</v>
          </cell>
          <cell r="I127">
            <v>20.648456057007127</v>
          </cell>
          <cell r="J127">
            <v>1042.2719999999999</v>
          </cell>
          <cell r="M127" t="str">
            <v>Калининский</v>
          </cell>
        </row>
        <row r="128">
          <cell r="A128">
            <v>3</v>
          </cell>
          <cell r="B128" t="str">
            <v>Автогудронатор 3500л</v>
          </cell>
          <cell r="C128" t="str">
            <v>м/ч</v>
          </cell>
          <cell r="D128">
            <v>7.3079999999999998</v>
          </cell>
          <cell r="E128">
            <v>5.99</v>
          </cell>
          <cell r="F128">
            <v>43.774920000000002</v>
          </cell>
          <cell r="G128">
            <v>77.02</v>
          </cell>
          <cell r="H128">
            <v>562.8621599999999</v>
          </cell>
          <cell r="I128">
            <v>12.858096828046742</v>
          </cell>
          <cell r="J128">
            <v>519.08723999999995</v>
          </cell>
          <cell r="M128" t="str">
            <v>Калининский</v>
          </cell>
        </row>
        <row r="129">
          <cell r="A129">
            <v>4</v>
          </cell>
          <cell r="B129" t="str">
            <v>Машина поливомоечная</v>
          </cell>
          <cell r="C129" t="str">
            <v>м/ч</v>
          </cell>
          <cell r="D129">
            <v>5.5919999999999996</v>
          </cell>
          <cell r="E129">
            <v>6.16</v>
          </cell>
          <cell r="F129">
            <v>34.446719999999999</v>
          </cell>
          <cell r="G129">
            <v>197.6</v>
          </cell>
          <cell r="H129">
            <v>1104.9792</v>
          </cell>
          <cell r="I129">
            <v>32.077922077922075</v>
          </cell>
          <cell r="J129">
            <v>1070.5324800000001</v>
          </cell>
          <cell r="M129" t="str">
            <v>Калининский</v>
          </cell>
        </row>
        <row r="130">
          <cell r="A130">
            <v>5</v>
          </cell>
          <cell r="B130" t="str">
            <v xml:space="preserve">Каток  самоходный гладкий 5 тн </v>
          </cell>
          <cell r="C130" t="str">
            <v>м/ч</v>
          </cell>
          <cell r="D130">
            <v>96.155999999999992</v>
          </cell>
          <cell r="E130">
            <v>1.81</v>
          </cell>
          <cell r="F130">
            <v>174.04236</v>
          </cell>
          <cell r="G130">
            <v>80.16</v>
          </cell>
          <cell r="H130">
            <v>7707.864959999999</v>
          </cell>
          <cell r="I130">
            <v>44.28729281767955</v>
          </cell>
          <cell r="J130">
            <v>7533.8225999999986</v>
          </cell>
          <cell r="M130" t="str">
            <v>Калининский</v>
          </cell>
        </row>
        <row r="131">
          <cell r="A131">
            <v>6</v>
          </cell>
          <cell r="B131" t="str">
            <v xml:space="preserve">Каток вальцевый  10 тн </v>
          </cell>
          <cell r="C131" t="str">
            <v>м/ч</v>
          </cell>
          <cell r="D131">
            <v>126.96</v>
          </cell>
          <cell r="E131">
            <v>1.69</v>
          </cell>
          <cell r="F131">
            <v>214</v>
          </cell>
          <cell r="G131">
            <v>117.14</v>
          </cell>
          <cell r="H131">
            <v>14872.0944</v>
          </cell>
          <cell r="I131">
            <v>69.49576822429907</v>
          </cell>
          <cell r="J131">
            <v>14658.0944</v>
          </cell>
          <cell r="M131" t="str">
            <v>Калининский</v>
          </cell>
        </row>
        <row r="132">
          <cell r="A132">
            <v>7</v>
          </cell>
          <cell r="B132" t="str">
            <v>Укладчик а/бетона</v>
          </cell>
          <cell r="C132" t="str">
            <v>м/ч</v>
          </cell>
          <cell r="D132">
            <v>26.795999999999996</v>
          </cell>
          <cell r="E132">
            <v>2.29</v>
          </cell>
          <cell r="F132">
            <v>61.362839999999991</v>
          </cell>
          <cell r="G132">
            <v>148.81</v>
          </cell>
          <cell r="H132">
            <v>3987.5127599999996</v>
          </cell>
          <cell r="I132">
            <v>64.982532751091711</v>
          </cell>
          <cell r="J132">
            <v>3926.1499199999998</v>
          </cell>
          <cell r="M132" t="str">
            <v>Калининский</v>
          </cell>
        </row>
        <row r="133">
          <cell r="A133">
            <v>8</v>
          </cell>
          <cell r="B133" t="str">
            <v>Пневмокаток 18тн</v>
          </cell>
          <cell r="C133" t="str">
            <v>м/ч</v>
          </cell>
          <cell r="D133">
            <v>2.5920000000000001</v>
          </cell>
          <cell r="E133">
            <v>4.88</v>
          </cell>
          <cell r="F133">
            <v>12.648960000000001</v>
          </cell>
          <cell r="G133">
            <v>94.73</v>
          </cell>
          <cell r="H133">
            <v>245.54016000000001</v>
          </cell>
          <cell r="I133">
            <v>19.41188524590164</v>
          </cell>
          <cell r="J133">
            <v>232.89120000000003</v>
          </cell>
          <cell r="M133" t="str">
            <v>Калининский</v>
          </cell>
        </row>
        <row r="134">
          <cell r="A134">
            <v>9</v>
          </cell>
          <cell r="B134" t="str">
            <v>Автогудронатор 7000 л</v>
          </cell>
          <cell r="C134" t="str">
            <v>м/ч</v>
          </cell>
          <cell r="D134">
            <v>3.6239999999999997</v>
          </cell>
          <cell r="E134">
            <v>7.22</v>
          </cell>
          <cell r="F134">
            <v>26.165279999999996</v>
          </cell>
          <cell r="G134">
            <v>141.41</v>
          </cell>
          <cell r="H134">
            <v>512.46983999999998</v>
          </cell>
          <cell r="I134">
            <v>19.585872576177287</v>
          </cell>
          <cell r="J134">
            <v>486.30455999999998</v>
          </cell>
          <cell r="M134" t="str">
            <v>Калининский</v>
          </cell>
        </row>
        <row r="135">
          <cell r="A135">
            <v>10</v>
          </cell>
          <cell r="B135" t="str">
            <v>Прочие машины</v>
          </cell>
          <cell r="C135" t="str">
            <v>руб</v>
          </cell>
          <cell r="D135">
            <v>19.829999999999998</v>
          </cell>
          <cell r="E135">
            <v>1</v>
          </cell>
          <cell r="F135">
            <v>19.829999999999998</v>
          </cell>
          <cell r="G135">
            <v>20</v>
          </cell>
          <cell r="H135">
            <v>396.59999999999997</v>
          </cell>
          <cell r="I135">
            <v>20</v>
          </cell>
          <cell r="J135">
            <v>376.77</v>
          </cell>
          <cell r="M135" t="str">
            <v>Калининский</v>
          </cell>
        </row>
        <row r="136">
          <cell r="M136" t="str">
            <v>Калининский</v>
          </cell>
        </row>
        <row r="137">
          <cell r="A137" t="str">
            <v>98-1.3.</v>
          </cell>
          <cell r="B137" t="str">
            <v>Материалы</v>
          </cell>
          <cell r="F137">
            <v>22577.908100000001</v>
          </cell>
          <cell r="H137">
            <v>696488.94050000003</v>
          </cell>
          <cell r="I137">
            <v>30.848249422186285</v>
          </cell>
          <cell r="J137">
            <v>673911.03240000003</v>
          </cell>
          <cell r="K137">
            <v>98</v>
          </cell>
          <cell r="L137" t="str">
            <v>1.3.</v>
          </cell>
          <cell r="M137" t="str">
            <v>Калининский</v>
          </cell>
        </row>
        <row r="138">
          <cell r="B138" t="str">
            <v>Материальные ресурсы по нормам СНиП</v>
          </cell>
          <cell r="F138">
            <v>15657.734700000001</v>
          </cell>
          <cell r="H138">
            <v>570359.90049999999</v>
          </cell>
          <cell r="I138">
            <v>36.426718898232444</v>
          </cell>
          <cell r="J138">
            <v>554702.16579999996</v>
          </cell>
          <cell r="M138" t="str">
            <v>Калининский</v>
          </cell>
        </row>
        <row r="139">
          <cell r="A139">
            <v>1</v>
          </cell>
          <cell r="B139" t="str">
            <v>ПГС</v>
          </cell>
          <cell r="C139" t="str">
            <v>м3</v>
          </cell>
          <cell r="D139">
            <v>357</v>
          </cell>
          <cell r="E139">
            <v>1.9</v>
          </cell>
          <cell r="F139">
            <v>678.3</v>
          </cell>
          <cell r="G139">
            <v>40.57</v>
          </cell>
          <cell r="H139">
            <v>14483.49</v>
          </cell>
          <cell r="I139">
            <v>21.352631578947371</v>
          </cell>
          <cell r="J139">
            <v>13805.19</v>
          </cell>
          <cell r="M139" t="str">
            <v>Калининский</v>
          </cell>
        </row>
        <row r="140">
          <cell r="A140">
            <v>2</v>
          </cell>
          <cell r="B140" t="str">
            <v xml:space="preserve">Битум вязкий </v>
          </cell>
          <cell r="C140" t="str">
            <v>т</v>
          </cell>
          <cell r="D140">
            <v>10.34</v>
          </cell>
          <cell r="E140">
            <v>65.88</v>
          </cell>
          <cell r="F140">
            <v>681.19919999999991</v>
          </cell>
          <cell r="G140">
            <v>3528.4</v>
          </cell>
          <cell r="H140">
            <v>36483.656000000003</v>
          </cell>
          <cell r="I140">
            <v>53.55798421372193</v>
          </cell>
          <cell r="J140">
            <v>35802.4568</v>
          </cell>
          <cell r="M140" t="str">
            <v>Калининский</v>
          </cell>
        </row>
        <row r="141">
          <cell r="A141">
            <v>3</v>
          </cell>
          <cell r="B141" t="str">
            <v>Битум жидкий</v>
          </cell>
          <cell r="C141" t="str">
            <v>т</v>
          </cell>
          <cell r="D141">
            <v>5.15</v>
          </cell>
          <cell r="E141">
            <v>63.37</v>
          </cell>
          <cell r="F141">
            <v>326.35550000000001</v>
          </cell>
          <cell r="G141">
            <v>3493.63</v>
          </cell>
          <cell r="H141">
            <v>17992.194500000001</v>
          </cell>
          <cell r="I141">
            <v>55.130661196149603</v>
          </cell>
          <cell r="J141">
            <v>17665.839</v>
          </cell>
          <cell r="M141" t="str">
            <v>Калининский</v>
          </cell>
        </row>
        <row r="142">
          <cell r="A142">
            <v>4</v>
          </cell>
          <cell r="B142" t="str">
            <v>М/з а/ бетонная смесь</v>
          </cell>
          <cell r="C142" t="str">
            <v>т</v>
          </cell>
          <cell r="D142">
            <v>692</v>
          </cell>
          <cell r="E142">
            <v>14.84</v>
          </cell>
          <cell r="F142">
            <v>10269.280000000001</v>
          </cell>
          <cell r="G142">
            <v>569.5</v>
          </cell>
          <cell r="H142">
            <v>394094</v>
          </cell>
          <cell r="I142">
            <v>38.376010781671155</v>
          </cell>
          <cell r="J142">
            <v>383824.72</v>
          </cell>
          <cell r="M142" t="str">
            <v>Калининский</v>
          </cell>
        </row>
        <row r="143">
          <cell r="A143">
            <v>5</v>
          </cell>
          <cell r="B143" t="str">
            <v>черный щебень</v>
          </cell>
          <cell r="C143" t="str">
            <v>т</v>
          </cell>
          <cell r="D143">
            <v>287</v>
          </cell>
          <cell r="E143">
            <v>12.8</v>
          </cell>
          <cell r="F143">
            <v>3673.6000000000004</v>
          </cell>
          <cell r="G143">
            <v>372.88</v>
          </cell>
          <cell r="H143">
            <v>107016.56</v>
          </cell>
          <cell r="I143">
            <v>29.131249999999998</v>
          </cell>
          <cell r="J143">
            <v>103342.95999999999</v>
          </cell>
          <cell r="M143" t="str">
            <v>Калининский</v>
          </cell>
        </row>
        <row r="144">
          <cell r="A144">
            <v>6</v>
          </cell>
          <cell r="B144" t="str">
            <v>Прочие материалы</v>
          </cell>
          <cell r="C144" t="str">
            <v>руб.</v>
          </cell>
          <cell r="D144">
            <v>29</v>
          </cell>
          <cell r="E144">
            <v>1</v>
          </cell>
          <cell r="F144">
            <v>29</v>
          </cell>
          <cell r="G144">
            <v>10</v>
          </cell>
          <cell r="H144">
            <v>290</v>
          </cell>
          <cell r="I144">
            <v>10</v>
          </cell>
          <cell r="J144">
            <v>261</v>
          </cell>
          <cell r="M144" t="str">
            <v>Калининский</v>
          </cell>
        </row>
        <row r="145">
          <cell r="A145">
            <v>7</v>
          </cell>
          <cell r="F145">
            <v>0</v>
          </cell>
          <cell r="H145">
            <v>0</v>
          </cell>
          <cell r="I145" t="e">
            <v>#DIV/0!</v>
          </cell>
          <cell r="J145">
            <v>0</v>
          </cell>
          <cell r="M145" t="str">
            <v>Калининский</v>
          </cell>
        </row>
        <row r="146">
          <cell r="A146">
            <v>8</v>
          </cell>
          <cell r="F146">
            <v>0</v>
          </cell>
          <cell r="H146">
            <v>0</v>
          </cell>
          <cell r="I146" t="e">
            <v>#DIV/0!</v>
          </cell>
          <cell r="J146">
            <v>0</v>
          </cell>
          <cell r="M146" t="str">
            <v>Калининский</v>
          </cell>
        </row>
        <row r="147">
          <cell r="A147">
            <v>9</v>
          </cell>
          <cell r="F147">
            <v>0</v>
          </cell>
          <cell r="H147">
            <v>0</v>
          </cell>
          <cell r="I147" t="e">
            <v>#DIV/0!</v>
          </cell>
          <cell r="J147">
            <v>0</v>
          </cell>
          <cell r="M147" t="str">
            <v>Калининский</v>
          </cell>
        </row>
        <row r="148">
          <cell r="A148">
            <v>10</v>
          </cell>
          <cell r="F148">
            <v>0</v>
          </cell>
          <cell r="H148">
            <v>0</v>
          </cell>
          <cell r="I148" t="e">
            <v>#DIV/0!</v>
          </cell>
          <cell r="J148">
            <v>0</v>
          </cell>
          <cell r="M148" t="str">
            <v>Калининский</v>
          </cell>
        </row>
        <row r="149">
          <cell r="M149" t="str">
            <v>Калининский</v>
          </cell>
        </row>
        <row r="150">
          <cell r="B150" t="str">
            <v>Транспортировка материалов, т (вид транспорта, км)</v>
          </cell>
          <cell r="F150">
            <v>6809</v>
          </cell>
          <cell r="H150">
            <v>126129.04</v>
          </cell>
          <cell r="I150">
            <v>18.523871346746951</v>
          </cell>
          <cell r="J150">
            <v>119320.04</v>
          </cell>
          <cell r="M150" t="str">
            <v>Калининский</v>
          </cell>
        </row>
        <row r="151">
          <cell r="A151">
            <v>1</v>
          </cell>
          <cell r="B151" t="str">
            <v>ПГС - 159 км</v>
          </cell>
          <cell r="C151" t="str">
            <v>т</v>
          </cell>
          <cell r="D151">
            <v>643</v>
          </cell>
          <cell r="E151">
            <v>7.59</v>
          </cell>
          <cell r="F151">
            <v>4880.37</v>
          </cell>
          <cell r="G151">
            <v>155.84</v>
          </cell>
          <cell r="H151">
            <v>100205.12</v>
          </cell>
          <cell r="I151">
            <v>20.532279314888012</v>
          </cell>
          <cell r="J151">
            <v>95324.75</v>
          </cell>
          <cell r="M151" t="str">
            <v>Калининский</v>
          </cell>
        </row>
        <row r="152">
          <cell r="A152">
            <v>2</v>
          </cell>
          <cell r="B152" t="str">
            <v>Битум вязкий -62 км</v>
          </cell>
          <cell r="C152" t="str">
            <v>т</v>
          </cell>
          <cell r="F152">
            <v>0</v>
          </cell>
          <cell r="G152">
            <v>114.432</v>
          </cell>
          <cell r="H152">
            <v>0</v>
          </cell>
          <cell r="I152" t="e">
            <v>#DIV/0!</v>
          </cell>
          <cell r="J152">
            <v>0</v>
          </cell>
          <cell r="M152" t="str">
            <v>Калининский</v>
          </cell>
        </row>
        <row r="153">
          <cell r="A153">
            <v>3</v>
          </cell>
          <cell r="B153" t="str">
            <v>Битум жидкий-62 км</v>
          </cell>
          <cell r="C153" t="str">
            <v>т</v>
          </cell>
          <cell r="F153">
            <v>0</v>
          </cell>
          <cell r="G153">
            <v>114.432</v>
          </cell>
          <cell r="H153">
            <v>0</v>
          </cell>
          <cell r="I153" t="e">
            <v>#DIV/0!</v>
          </cell>
          <cell r="J153">
            <v>0</v>
          </cell>
          <cell r="M153" t="str">
            <v>Калининский</v>
          </cell>
        </row>
        <row r="154">
          <cell r="A154">
            <v>4</v>
          </cell>
          <cell r="B154" t="str">
            <v>М/з а/ бетонная смесь -22 км</v>
          </cell>
          <cell r="C154" t="str">
            <v>т</v>
          </cell>
          <cell r="D154">
            <v>692</v>
          </cell>
          <cell r="E154">
            <v>1.97</v>
          </cell>
          <cell r="F154">
            <v>1363.24</v>
          </cell>
          <cell r="G154">
            <v>26.48</v>
          </cell>
          <cell r="H154">
            <v>18324.16</v>
          </cell>
          <cell r="I154">
            <v>13.441624365482234</v>
          </cell>
          <cell r="J154">
            <v>16960.919999999998</v>
          </cell>
          <cell r="M154" t="str">
            <v>Калининский</v>
          </cell>
        </row>
        <row r="155">
          <cell r="A155">
            <v>5</v>
          </cell>
          <cell r="B155" t="str">
            <v>Черный щебень-22 км</v>
          </cell>
          <cell r="C155" t="str">
            <v>т</v>
          </cell>
          <cell r="D155">
            <v>287</v>
          </cell>
          <cell r="E155">
            <v>1.97</v>
          </cell>
          <cell r="F155">
            <v>565.39</v>
          </cell>
          <cell r="G155">
            <v>26.48</v>
          </cell>
          <cell r="H155">
            <v>7599.76</v>
          </cell>
          <cell r="I155">
            <v>13.441624365482234</v>
          </cell>
          <cell r="J155">
            <v>7034.37</v>
          </cell>
          <cell r="M155" t="str">
            <v>Калининский</v>
          </cell>
        </row>
        <row r="156">
          <cell r="A156">
            <v>6</v>
          </cell>
          <cell r="C156" t="str">
            <v>т</v>
          </cell>
          <cell r="H156">
            <v>0</v>
          </cell>
          <cell r="I156" t="e">
            <v>#DIV/0!</v>
          </cell>
          <cell r="J156">
            <v>0</v>
          </cell>
          <cell r="M156" t="str">
            <v>Калининский</v>
          </cell>
        </row>
        <row r="157">
          <cell r="A157">
            <v>7</v>
          </cell>
          <cell r="C157" t="str">
            <v>т</v>
          </cell>
          <cell r="F157">
            <v>0</v>
          </cell>
          <cell r="H157">
            <v>0</v>
          </cell>
          <cell r="I157" t="e">
            <v>#DIV/0!</v>
          </cell>
          <cell r="J157">
            <v>0</v>
          </cell>
          <cell r="M157" t="str">
            <v>Калининский</v>
          </cell>
        </row>
        <row r="158">
          <cell r="A158">
            <v>8</v>
          </cell>
          <cell r="C158" t="str">
            <v>т</v>
          </cell>
          <cell r="F158">
            <v>0</v>
          </cell>
          <cell r="H158">
            <v>0</v>
          </cell>
          <cell r="I158" t="e">
            <v>#DIV/0!</v>
          </cell>
          <cell r="J158">
            <v>0</v>
          </cell>
          <cell r="M158" t="str">
            <v>Калининский</v>
          </cell>
        </row>
        <row r="159">
          <cell r="A159">
            <v>9</v>
          </cell>
          <cell r="C159" t="str">
            <v>т</v>
          </cell>
          <cell r="F159">
            <v>0</v>
          </cell>
          <cell r="H159">
            <v>0</v>
          </cell>
          <cell r="I159" t="e">
            <v>#DIV/0!</v>
          </cell>
          <cell r="J159">
            <v>0</v>
          </cell>
          <cell r="M159" t="str">
            <v>Калининский</v>
          </cell>
        </row>
        <row r="160">
          <cell r="A160">
            <v>10</v>
          </cell>
          <cell r="C160" t="str">
            <v>т</v>
          </cell>
          <cell r="F160">
            <v>0</v>
          </cell>
          <cell r="H160">
            <v>0</v>
          </cell>
          <cell r="I160" t="e">
            <v>#DIV/0!</v>
          </cell>
          <cell r="J160">
            <v>0</v>
          </cell>
          <cell r="M160" t="str">
            <v>Калининский</v>
          </cell>
        </row>
        <row r="161">
          <cell r="M161" t="str">
            <v>Калининский</v>
          </cell>
        </row>
        <row r="162">
          <cell r="B162" t="str">
            <v>Заготовительно-складские расходы</v>
          </cell>
          <cell r="F162">
            <v>111.1734</v>
          </cell>
          <cell r="H162">
            <v>0</v>
          </cell>
          <cell r="I162">
            <v>0</v>
          </cell>
          <cell r="J162">
            <v>-111.1734</v>
          </cell>
          <cell r="M162" t="str">
            <v>Калининский</v>
          </cell>
        </row>
        <row r="163">
          <cell r="A163">
            <v>1</v>
          </cell>
          <cell r="B163" t="str">
            <v>ПГС</v>
          </cell>
          <cell r="C163" t="str">
            <v>руб</v>
          </cell>
          <cell r="D163">
            <v>0.02</v>
          </cell>
          <cell r="E163">
            <v>5558.67</v>
          </cell>
          <cell r="F163">
            <v>111.1734</v>
          </cell>
          <cell r="H163">
            <v>0</v>
          </cell>
          <cell r="I163">
            <v>0</v>
          </cell>
          <cell r="J163">
            <v>-111.1734</v>
          </cell>
          <cell r="M163" t="str">
            <v>Калининский</v>
          </cell>
        </row>
        <row r="164">
          <cell r="A164">
            <v>2</v>
          </cell>
          <cell r="B164" t="str">
            <v xml:space="preserve">Битум вязкий </v>
          </cell>
          <cell r="C164" t="str">
            <v>руб</v>
          </cell>
          <cell r="E164">
            <v>681.19919999999991</v>
          </cell>
          <cell r="F164">
            <v>0</v>
          </cell>
          <cell r="H164">
            <v>0</v>
          </cell>
          <cell r="I164" t="e">
            <v>#DIV/0!</v>
          </cell>
          <cell r="J164">
            <v>0</v>
          </cell>
          <cell r="M164" t="str">
            <v>Калининский</v>
          </cell>
        </row>
        <row r="165">
          <cell r="A165">
            <v>3</v>
          </cell>
          <cell r="B165" t="str">
            <v>Битум жидкий</v>
          </cell>
          <cell r="C165" t="str">
            <v>руб</v>
          </cell>
          <cell r="E165">
            <v>326.35550000000001</v>
          </cell>
          <cell r="F165">
            <v>0</v>
          </cell>
          <cell r="H165">
            <v>0</v>
          </cell>
          <cell r="I165" t="e">
            <v>#DIV/0!</v>
          </cell>
          <cell r="J165">
            <v>0</v>
          </cell>
          <cell r="M165" t="str">
            <v>Калининский</v>
          </cell>
        </row>
        <row r="166">
          <cell r="A166">
            <v>4</v>
          </cell>
          <cell r="B166" t="str">
            <v>М/з а/ бетонная смесь</v>
          </cell>
          <cell r="C166" t="str">
            <v>руб</v>
          </cell>
          <cell r="E166">
            <v>11632.52</v>
          </cell>
          <cell r="F166">
            <v>0</v>
          </cell>
          <cell r="H166">
            <v>0</v>
          </cell>
          <cell r="I166" t="e">
            <v>#DIV/0!</v>
          </cell>
          <cell r="J166">
            <v>0</v>
          </cell>
          <cell r="M166" t="str">
            <v>Калининский</v>
          </cell>
        </row>
        <row r="167">
          <cell r="A167">
            <v>5</v>
          </cell>
          <cell r="B167" t="str">
            <v>черный щебень</v>
          </cell>
          <cell r="C167" t="str">
            <v>руб</v>
          </cell>
          <cell r="E167">
            <v>4238.9900000000007</v>
          </cell>
          <cell r="F167">
            <v>0</v>
          </cell>
          <cell r="H167">
            <v>0</v>
          </cell>
          <cell r="I167" t="e">
            <v>#DIV/0!</v>
          </cell>
          <cell r="J167">
            <v>0</v>
          </cell>
          <cell r="M167" t="str">
            <v>Калининский</v>
          </cell>
        </row>
        <row r="168">
          <cell r="A168">
            <v>6</v>
          </cell>
          <cell r="B168" t="str">
            <v>Прочие материалы</v>
          </cell>
          <cell r="C168" t="str">
            <v>руб</v>
          </cell>
          <cell r="E168">
            <v>29</v>
          </cell>
          <cell r="F168">
            <v>0</v>
          </cell>
          <cell r="H168">
            <v>0</v>
          </cell>
          <cell r="I168" t="e">
            <v>#DIV/0!</v>
          </cell>
          <cell r="J168">
            <v>0</v>
          </cell>
          <cell r="M168" t="str">
            <v>Калининский</v>
          </cell>
        </row>
        <row r="169">
          <cell r="A169">
            <v>7</v>
          </cell>
          <cell r="B169">
            <v>0</v>
          </cell>
          <cell r="C169" t="str">
            <v>руб</v>
          </cell>
          <cell r="E169">
            <v>0</v>
          </cell>
          <cell r="F169">
            <v>0</v>
          </cell>
          <cell r="H169">
            <v>0</v>
          </cell>
          <cell r="I169" t="e">
            <v>#DIV/0!</v>
          </cell>
          <cell r="J169">
            <v>0</v>
          </cell>
          <cell r="M169" t="str">
            <v>Калининский</v>
          </cell>
        </row>
        <row r="170">
          <cell r="A170">
            <v>8</v>
          </cell>
          <cell r="B170">
            <v>0</v>
          </cell>
          <cell r="C170" t="str">
            <v>руб</v>
          </cell>
          <cell r="E170">
            <v>0</v>
          </cell>
          <cell r="F170">
            <v>0</v>
          </cell>
          <cell r="H170">
            <v>0</v>
          </cell>
          <cell r="I170" t="e">
            <v>#DIV/0!</v>
          </cell>
          <cell r="J170">
            <v>0</v>
          </cell>
          <cell r="M170" t="str">
            <v>Калининский</v>
          </cell>
        </row>
        <row r="171">
          <cell r="A171">
            <v>9</v>
          </cell>
          <cell r="B171">
            <v>0</v>
          </cell>
          <cell r="C171" t="str">
            <v>руб</v>
          </cell>
          <cell r="E171">
            <v>0</v>
          </cell>
          <cell r="F171">
            <v>0</v>
          </cell>
          <cell r="H171">
            <v>0</v>
          </cell>
          <cell r="I171" t="e">
            <v>#DIV/0!</v>
          </cell>
          <cell r="J171">
            <v>0</v>
          </cell>
          <cell r="M171" t="str">
            <v>Калининский</v>
          </cell>
        </row>
        <row r="172">
          <cell r="A172">
            <v>10</v>
          </cell>
          <cell r="B172">
            <v>0</v>
          </cell>
          <cell r="C172" t="str">
            <v>руб</v>
          </cell>
          <cell r="E172">
            <v>0</v>
          </cell>
          <cell r="F172">
            <v>0</v>
          </cell>
          <cell r="H172">
            <v>0</v>
          </cell>
          <cell r="I172" t="e">
            <v>#DIV/0!</v>
          </cell>
          <cell r="J172">
            <v>0</v>
          </cell>
          <cell r="M172" t="str">
            <v>Калининский</v>
          </cell>
        </row>
        <row r="173">
          <cell r="M173" t="str">
            <v>Калининский</v>
          </cell>
        </row>
        <row r="174">
          <cell r="M174" t="str">
            <v>Калининский</v>
          </cell>
        </row>
        <row r="175">
          <cell r="B175" t="str">
            <v>Составил:______________________________</v>
          </cell>
          <cell r="M175" t="str">
            <v>Калининский</v>
          </cell>
        </row>
        <row r="176">
          <cell r="M176" t="str">
            <v>Калининский</v>
          </cell>
        </row>
        <row r="177">
          <cell r="B177" t="str">
            <v>Начальник ТДО: ________________________</v>
          </cell>
        </row>
        <row r="178">
          <cell r="B178" t="str">
            <v>Район: Калининский \ Калининская - Новониколаевская ;  км: 17+800-22+100 ; 30+500-32+500 \ Поверхностная обработка (I вариант)</v>
          </cell>
          <cell r="K178">
            <v>99</v>
          </cell>
          <cell r="M178" t="str">
            <v>Калининский</v>
          </cell>
        </row>
        <row r="179">
          <cell r="A179" t="str">
            <v>99-1.1.</v>
          </cell>
          <cell r="B179" t="str">
            <v>Фонд заработной платы</v>
          </cell>
          <cell r="D179">
            <v>2742</v>
          </cell>
          <cell r="F179">
            <v>1643</v>
          </cell>
          <cell r="H179">
            <v>35099.676000000007</v>
          </cell>
          <cell r="I179">
            <v>21.363162507608038</v>
          </cell>
          <cell r="J179">
            <v>33456.676000000007</v>
          </cell>
          <cell r="K179">
            <v>99</v>
          </cell>
          <cell r="L179" t="str">
            <v>1.1.</v>
          </cell>
          <cell r="M179" t="str">
            <v>Калининский</v>
          </cell>
        </row>
        <row r="180">
          <cell r="A180" t="str">
            <v>99-1.1.1.</v>
          </cell>
          <cell r="B180" t="str">
            <v>Основные рабочие</v>
          </cell>
          <cell r="C180" t="str">
            <v>ч/ч</v>
          </cell>
          <cell r="D180">
            <v>1876</v>
          </cell>
          <cell r="E180">
            <v>0.55223880597014929</v>
          </cell>
          <cell r="F180">
            <v>1036</v>
          </cell>
          <cell r="G180">
            <v>12.201000000000002</v>
          </cell>
          <cell r="H180">
            <v>22889.076000000005</v>
          </cell>
          <cell r="I180">
            <v>22.093702702702707</v>
          </cell>
          <cell r="J180">
            <v>21853.076000000005</v>
          </cell>
          <cell r="K180">
            <v>99</v>
          </cell>
          <cell r="L180" t="str">
            <v>1.1.1.</v>
          </cell>
          <cell r="M180" t="str">
            <v>Калининский</v>
          </cell>
        </row>
        <row r="181">
          <cell r="A181" t="str">
            <v>99-1.1.2.</v>
          </cell>
          <cell r="B181" t="str">
            <v>Машинисты</v>
          </cell>
          <cell r="C181" t="str">
            <v>ч/ч</v>
          </cell>
          <cell r="D181">
            <v>866</v>
          </cell>
          <cell r="E181">
            <v>0.70099999999999996</v>
          </cell>
          <cell r="F181">
            <v>607</v>
          </cell>
          <cell r="G181">
            <v>14.100000000000003</v>
          </cell>
          <cell r="H181">
            <v>12210.600000000002</v>
          </cell>
          <cell r="I181">
            <v>20.116309719934105</v>
          </cell>
          <cell r="J181">
            <v>11603.600000000002</v>
          </cell>
          <cell r="K181">
            <v>99</v>
          </cell>
          <cell r="L181" t="str">
            <v>1.1.2.</v>
          </cell>
          <cell r="M181" t="str">
            <v>Калининский</v>
          </cell>
        </row>
        <row r="182">
          <cell r="M182" t="str">
            <v>Калининский</v>
          </cell>
        </row>
        <row r="183">
          <cell r="A183" t="str">
            <v>99-1.2.</v>
          </cell>
          <cell r="B183" t="str">
            <v>Технические ресурсы по нормам СНиП (без зарботной платы машиниста)</v>
          </cell>
          <cell r="F183">
            <v>1567.2791999999999</v>
          </cell>
          <cell r="H183">
            <v>67669.998439999996</v>
          </cell>
          <cell r="I183">
            <v>43.17673484086307</v>
          </cell>
          <cell r="J183">
            <v>66102.719239999991</v>
          </cell>
          <cell r="K183">
            <v>99</v>
          </cell>
          <cell r="L183" t="str">
            <v>1.2.</v>
          </cell>
          <cell r="M183" t="str">
            <v>Калининский</v>
          </cell>
        </row>
        <row r="184">
          <cell r="A184">
            <v>1</v>
          </cell>
          <cell r="B184" t="str">
            <v>Автогрейдер средний</v>
          </cell>
          <cell r="C184" t="str">
            <v>м/ч</v>
          </cell>
          <cell r="D184">
            <v>45.28</v>
          </cell>
          <cell r="E184">
            <v>2.48</v>
          </cell>
          <cell r="F184">
            <v>112.2944</v>
          </cell>
          <cell r="G184">
            <v>125.03</v>
          </cell>
          <cell r="H184">
            <v>5661.3584000000001</v>
          </cell>
          <cell r="I184">
            <v>50.415322580645167</v>
          </cell>
          <cell r="J184">
            <v>5549.0640000000003</v>
          </cell>
          <cell r="M184" t="str">
            <v>Калининский</v>
          </cell>
        </row>
        <row r="185">
          <cell r="A185">
            <v>2</v>
          </cell>
          <cell r="B185" t="str">
            <v>Щебнераспределитель</v>
          </cell>
          <cell r="C185" t="str">
            <v>м/ч</v>
          </cell>
          <cell r="D185">
            <v>43.68</v>
          </cell>
          <cell r="E185">
            <v>4.21</v>
          </cell>
          <cell r="F185">
            <v>183.89279999999999</v>
          </cell>
          <cell r="G185">
            <v>86.93</v>
          </cell>
          <cell r="H185">
            <v>3797.1024000000002</v>
          </cell>
          <cell r="I185">
            <v>20.648456057007127</v>
          </cell>
          <cell r="J185">
            <v>3613.2096000000001</v>
          </cell>
          <cell r="M185" t="str">
            <v>Калининский</v>
          </cell>
        </row>
        <row r="186">
          <cell r="A186">
            <v>3</v>
          </cell>
          <cell r="B186" t="str">
            <v>Автогудронатор 3500л</v>
          </cell>
          <cell r="C186" t="str">
            <v>м/ч</v>
          </cell>
          <cell r="D186">
            <v>25.2</v>
          </cell>
          <cell r="E186">
            <v>5.99</v>
          </cell>
          <cell r="F186">
            <v>150.94800000000001</v>
          </cell>
          <cell r="G186">
            <v>77.02</v>
          </cell>
          <cell r="H186">
            <v>1940.9039999999998</v>
          </cell>
          <cell r="I186">
            <v>12.858096828046742</v>
          </cell>
          <cell r="J186">
            <v>1789.9559999999997</v>
          </cell>
          <cell r="M186" t="str">
            <v>Калининский</v>
          </cell>
        </row>
        <row r="187">
          <cell r="A187">
            <v>4</v>
          </cell>
          <cell r="B187" t="str">
            <v>Машина поливомоечная</v>
          </cell>
          <cell r="C187" t="str">
            <v>м/ч</v>
          </cell>
          <cell r="D187">
            <v>15.011999999999999</v>
          </cell>
          <cell r="E187">
            <v>6.16</v>
          </cell>
          <cell r="F187">
            <v>92.473919999999993</v>
          </cell>
          <cell r="G187">
            <v>197.6</v>
          </cell>
          <cell r="H187">
            <v>2966.3711999999996</v>
          </cell>
          <cell r="I187">
            <v>32.077922077922075</v>
          </cell>
          <cell r="J187">
            <v>2873.8972799999997</v>
          </cell>
          <cell r="M187" t="str">
            <v>Калининский</v>
          </cell>
        </row>
        <row r="188">
          <cell r="A188">
            <v>5</v>
          </cell>
          <cell r="B188" t="str">
            <v xml:space="preserve">Каток  самоходный гладкий 5 тн </v>
          </cell>
          <cell r="C188" t="str">
            <v>м/ч</v>
          </cell>
          <cell r="D188">
            <v>204.51599999999999</v>
          </cell>
          <cell r="E188">
            <v>1.81</v>
          </cell>
          <cell r="F188">
            <v>370.17396000000002</v>
          </cell>
          <cell r="G188">
            <v>80.16</v>
          </cell>
          <cell r="H188">
            <v>16394.002559999997</v>
          </cell>
          <cell r="I188">
            <v>44.28729281767955</v>
          </cell>
          <cell r="J188">
            <v>16023.828599999997</v>
          </cell>
          <cell r="M188" t="str">
            <v>Калининский</v>
          </cell>
        </row>
        <row r="189">
          <cell r="A189">
            <v>6</v>
          </cell>
          <cell r="B189" t="str">
            <v xml:space="preserve">Каток вальцевый  10 тн </v>
          </cell>
          <cell r="C189" t="str">
            <v>м/ч</v>
          </cell>
          <cell r="D189">
            <v>247.32</v>
          </cell>
          <cell r="E189">
            <v>1.69</v>
          </cell>
          <cell r="F189">
            <v>418</v>
          </cell>
          <cell r="G189">
            <v>117.14</v>
          </cell>
          <cell r="H189">
            <v>28971.0648</v>
          </cell>
          <cell r="I189">
            <v>69.308767464114837</v>
          </cell>
          <cell r="J189">
            <v>28553.0648</v>
          </cell>
          <cell r="M189" t="str">
            <v>Калининский</v>
          </cell>
        </row>
        <row r="190">
          <cell r="A190">
            <v>7</v>
          </cell>
          <cell r="B190" t="str">
            <v>Укладчик а/бетона</v>
          </cell>
          <cell r="C190" t="str">
            <v>м/ч</v>
          </cell>
          <cell r="D190">
            <v>27.971999999999998</v>
          </cell>
          <cell r="E190">
            <v>2.29</v>
          </cell>
          <cell r="F190">
            <v>64.055880000000002</v>
          </cell>
          <cell r="G190">
            <v>148.81</v>
          </cell>
          <cell r="H190">
            <v>4162.51332</v>
          </cell>
          <cell r="I190">
            <v>64.982532751091696</v>
          </cell>
          <cell r="J190">
            <v>4098.4574400000001</v>
          </cell>
          <cell r="M190" t="str">
            <v>Калининский</v>
          </cell>
        </row>
        <row r="191">
          <cell r="A191">
            <v>8</v>
          </cell>
          <cell r="B191" t="str">
            <v>Пневмокаток 18тн</v>
          </cell>
          <cell r="C191" t="str">
            <v>м/ч</v>
          </cell>
          <cell r="D191">
            <v>6.9719999999999995</v>
          </cell>
          <cell r="E191">
            <v>4.88</v>
          </cell>
          <cell r="F191">
            <v>34.023359999999997</v>
          </cell>
          <cell r="G191">
            <v>141.41</v>
          </cell>
          <cell r="H191">
            <v>985.91051999999991</v>
          </cell>
          <cell r="I191">
            <v>28.977459016393443</v>
          </cell>
          <cell r="J191">
            <v>951.88715999999988</v>
          </cell>
          <cell r="M191" t="str">
            <v>Калининский</v>
          </cell>
        </row>
        <row r="192">
          <cell r="A192">
            <v>9</v>
          </cell>
          <cell r="B192" t="str">
            <v>Автогудронатор 7000 л</v>
          </cell>
          <cell r="C192" t="str">
            <v>м/ч</v>
          </cell>
          <cell r="D192">
            <v>12.564</v>
          </cell>
          <cell r="E192">
            <v>7.22</v>
          </cell>
          <cell r="F192">
            <v>90.71208</v>
          </cell>
          <cell r="G192">
            <v>141.41</v>
          </cell>
          <cell r="H192">
            <v>1776.67524</v>
          </cell>
          <cell r="I192">
            <v>19.585872576177284</v>
          </cell>
          <cell r="J192">
            <v>1685.96316</v>
          </cell>
          <cell r="M192" t="str">
            <v>Калининский</v>
          </cell>
        </row>
        <row r="193">
          <cell r="A193">
            <v>10</v>
          </cell>
          <cell r="B193" t="str">
            <v>Прочие машины</v>
          </cell>
          <cell r="C193" t="str">
            <v>руб</v>
          </cell>
          <cell r="D193">
            <v>50.704799999999999</v>
          </cell>
          <cell r="E193">
            <v>1</v>
          </cell>
          <cell r="F193">
            <v>50.704799999999999</v>
          </cell>
          <cell r="G193">
            <v>20</v>
          </cell>
          <cell r="H193">
            <v>1014.096</v>
          </cell>
          <cell r="I193">
            <v>20</v>
          </cell>
          <cell r="J193">
            <v>963.39120000000003</v>
          </cell>
          <cell r="M193" t="str">
            <v>Калининский</v>
          </cell>
        </row>
        <row r="194">
          <cell r="M194" t="str">
            <v>Калининский</v>
          </cell>
        </row>
        <row r="195">
          <cell r="A195" t="str">
            <v>99-1.3.</v>
          </cell>
          <cell r="B195" t="str">
            <v>Материалы</v>
          </cell>
          <cell r="F195">
            <v>41291.491799999996</v>
          </cell>
          <cell r="H195">
            <v>1243551.9002</v>
          </cell>
          <cell r="I195">
            <v>30.116419775368836</v>
          </cell>
          <cell r="J195">
            <v>1202260.4084000001</v>
          </cell>
          <cell r="K195">
            <v>99</v>
          </cell>
          <cell r="L195" t="str">
            <v>1.3.</v>
          </cell>
          <cell r="M195" t="str">
            <v>Калининский</v>
          </cell>
        </row>
        <row r="196">
          <cell r="B196" t="str">
            <v>Материальные ресурсы по нормам СНиП</v>
          </cell>
          <cell r="F196">
            <v>28244.851799999997</v>
          </cell>
          <cell r="H196">
            <v>1000719.5002</v>
          </cell>
          <cell r="I196">
            <v>35.430155813386143</v>
          </cell>
          <cell r="J196">
            <v>972474.64839999995</v>
          </cell>
          <cell r="M196" t="str">
            <v>Калининский</v>
          </cell>
        </row>
        <row r="197">
          <cell r="A197">
            <v>1</v>
          </cell>
          <cell r="B197" t="str">
            <v>ПГС</v>
          </cell>
          <cell r="C197" t="str">
            <v>м3</v>
          </cell>
          <cell r="D197">
            <v>640</v>
          </cell>
          <cell r="E197">
            <v>1.9</v>
          </cell>
          <cell r="F197">
            <v>1216</v>
          </cell>
          <cell r="G197">
            <v>40.57</v>
          </cell>
          <cell r="H197">
            <v>25964.799999999999</v>
          </cell>
          <cell r="I197">
            <v>21.352631578947367</v>
          </cell>
          <cell r="J197">
            <v>24748.799999999999</v>
          </cell>
          <cell r="M197" t="str">
            <v>Калининский</v>
          </cell>
        </row>
        <row r="198">
          <cell r="A198">
            <v>2</v>
          </cell>
          <cell r="B198" t="str">
            <v xml:space="preserve">Битум вязкий </v>
          </cell>
          <cell r="C198" t="str">
            <v>т</v>
          </cell>
          <cell r="D198">
            <v>35.9</v>
          </cell>
          <cell r="E198">
            <v>65.88</v>
          </cell>
          <cell r="F198">
            <v>2365.0919999999996</v>
          </cell>
          <cell r="G198">
            <v>3528.4</v>
          </cell>
          <cell r="H198">
            <v>126669.56</v>
          </cell>
          <cell r="I198">
            <v>53.557984213721923</v>
          </cell>
          <cell r="J198">
            <v>124304.46799999999</v>
          </cell>
          <cell r="M198" t="str">
            <v>Калининский</v>
          </cell>
        </row>
        <row r="199">
          <cell r="A199">
            <v>3</v>
          </cell>
          <cell r="B199" t="str">
            <v>Битум жидкий</v>
          </cell>
          <cell r="C199" t="str">
            <v>т</v>
          </cell>
          <cell r="D199">
            <v>18.54</v>
          </cell>
          <cell r="E199">
            <v>63.37</v>
          </cell>
          <cell r="F199">
            <v>1174.8797999999999</v>
          </cell>
          <cell r="G199">
            <v>3493.63</v>
          </cell>
          <cell r="H199">
            <v>64771.900199999996</v>
          </cell>
          <cell r="I199">
            <v>55.130661196149596</v>
          </cell>
          <cell r="J199">
            <v>63597.020399999994</v>
          </cell>
          <cell r="M199" t="str">
            <v>Калининский</v>
          </cell>
        </row>
        <row r="200">
          <cell r="A200">
            <v>4</v>
          </cell>
          <cell r="B200" t="str">
            <v>М/з а/ бетонная смесь</v>
          </cell>
          <cell r="C200" t="str">
            <v>т</v>
          </cell>
          <cell r="D200">
            <v>722</v>
          </cell>
          <cell r="E200">
            <v>14.84</v>
          </cell>
          <cell r="F200">
            <v>10714.48</v>
          </cell>
          <cell r="G200">
            <v>569.5</v>
          </cell>
          <cell r="H200">
            <v>411179</v>
          </cell>
          <cell r="I200">
            <v>38.376010781671162</v>
          </cell>
          <cell r="J200">
            <v>400464.52</v>
          </cell>
          <cell r="M200" t="str">
            <v>Калининский</v>
          </cell>
        </row>
        <row r="201">
          <cell r="A201">
            <v>5</v>
          </cell>
          <cell r="B201" t="str">
            <v>черный щебень</v>
          </cell>
          <cell r="C201" t="str">
            <v>т</v>
          </cell>
          <cell r="D201">
            <v>998</v>
          </cell>
          <cell r="E201">
            <v>12.799999999999999</v>
          </cell>
          <cell r="F201">
            <v>12774.4</v>
          </cell>
          <cell r="G201">
            <v>372.88</v>
          </cell>
          <cell r="H201">
            <v>372134.24</v>
          </cell>
          <cell r="I201">
            <v>29.131250000000001</v>
          </cell>
          <cell r="J201">
            <v>359359.83999999997</v>
          </cell>
          <cell r="M201" t="str">
            <v>Калининский</v>
          </cell>
        </row>
        <row r="202">
          <cell r="A202">
            <v>6</v>
          </cell>
          <cell r="F202">
            <v>0</v>
          </cell>
          <cell r="H202">
            <v>0</v>
          </cell>
          <cell r="I202" t="e">
            <v>#DIV/0!</v>
          </cell>
          <cell r="J202">
            <v>0</v>
          </cell>
          <cell r="M202" t="str">
            <v>Калининский</v>
          </cell>
        </row>
        <row r="203">
          <cell r="A203">
            <v>7</v>
          </cell>
          <cell r="F203">
            <v>0</v>
          </cell>
          <cell r="H203">
            <v>0</v>
          </cell>
          <cell r="I203" t="e">
            <v>#DIV/0!</v>
          </cell>
          <cell r="J203">
            <v>0</v>
          </cell>
          <cell r="M203" t="str">
            <v>Калининский</v>
          </cell>
        </row>
        <row r="204">
          <cell r="A204">
            <v>8</v>
          </cell>
          <cell r="F204">
            <v>0</v>
          </cell>
          <cell r="H204">
            <v>0</v>
          </cell>
          <cell r="I204" t="e">
            <v>#DIV/0!</v>
          </cell>
          <cell r="J204">
            <v>0</v>
          </cell>
          <cell r="M204" t="str">
            <v>Калининский</v>
          </cell>
        </row>
        <row r="205">
          <cell r="A205">
            <v>9</v>
          </cell>
          <cell r="F205">
            <v>0</v>
          </cell>
          <cell r="H205">
            <v>0</v>
          </cell>
          <cell r="I205" t="e">
            <v>#DIV/0!</v>
          </cell>
          <cell r="J205">
            <v>0</v>
          </cell>
          <cell r="M205" t="str">
            <v>Калининский</v>
          </cell>
        </row>
        <row r="206">
          <cell r="A206">
            <v>10</v>
          </cell>
          <cell r="F206">
            <v>0</v>
          </cell>
          <cell r="H206">
            <v>0</v>
          </cell>
          <cell r="I206" t="e">
            <v>#DIV/0!</v>
          </cell>
          <cell r="J206">
            <v>0</v>
          </cell>
          <cell r="M206" t="str">
            <v>Калининский</v>
          </cell>
        </row>
        <row r="207">
          <cell r="M207" t="str">
            <v>Калининский</v>
          </cell>
        </row>
        <row r="208">
          <cell r="B208" t="str">
            <v>Транспортировка материалов, т (вид транспорта, км)</v>
          </cell>
          <cell r="F208">
            <v>13046.64</v>
          </cell>
          <cell r="H208">
            <v>242832.4</v>
          </cell>
          <cell r="I208">
            <v>18.612638962982039</v>
          </cell>
          <cell r="J208">
            <v>229785.76</v>
          </cell>
          <cell r="M208" t="str">
            <v>Калининский</v>
          </cell>
        </row>
        <row r="209">
          <cell r="A209">
            <v>1</v>
          </cell>
          <cell r="B209" t="str">
            <v>ПГС - 165 км</v>
          </cell>
          <cell r="C209" t="str">
            <v>т</v>
          </cell>
          <cell r="D209">
            <v>1152</v>
          </cell>
          <cell r="E209">
            <v>7.82</v>
          </cell>
          <cell r="F209">
            <v>9008.64</v>
          </cell>
          <cell r="G209">
            <v>160.69999999999999</v>
          </cell>
          <cell r="H209">
            <v>185126.39999999999</v>
          </cell>
          <cell r="I209">
            <v>20.549872122762149</v>
          </cell>
          <cell r="J209">
            <v>176117.76000000001</v>
          </cell>
          <cell r="M209" t="str">
            <v>Калининский</v>
          </cell>
        </row>
        <row r="210">
          <cell r="A210">
            <v>2</v>
          </cell>
          <cell r="B210" t="str">
            <v>Битум вязкий -68 км</v>
          </cell>
          <cell r="C210" t="str">
            <v>т</v>
          </cell>
          <cell r="D210">
            <v>0</v>
          </cell>
          <cell r="F210">
            <v>0</v>
          </cell>
          <cell r="G210">
            <v>125.376</v>
          </cell>
          <cell r="H210">
            <v>0</v>
          </cell>
          <cell r="I210" t="e">
            <v>#DIV/0!</v>
          </cell>
          <cell r="J210">
            <v>0</v>
          </cell>
          <cell r="M210" t="str">
            <v>Калининский</v>
          </cell>
        </row>
        <row r="211">
          <cell r="A211">
            <v>3</v>
          </cell>
          <cell r="B211" t="str">
            <v>Битум жидкий-68 км</v>
          </cell>
          <cell r="C211" t="str">
            <v>т</v>
          </cell>
          <cell r="D211">
            <v>0</v>
          </cell>
          <cell r="F211">
            <v>0</v>
          </cell>
          <cell r="G211">
            <v>125.376</v>
          </cell>
          <cell r="H211">
            <v>0</v>
          </cell>
          <cell r="I211" t="e">
            <v>#DIV/0!</v>
          </cell>
          <cell r="J211">
            <v>0</v>
          </cell>
          <cell r="M211" t="str">
            <v>Калининский</v>
          </cell>
        </row>
        <row r="212">
          <cell r="A212">
            <v>4</v>
          </cell>
          <cell r="B212" t="str">
            <v>М/з а/ бетонная смесь -28 км</v>
          </cell>
          <cell r="C212" t="str">
            <v>т</v>
          </cell>
          <cell r="D212">
            <v>722</v>
          </cell>
          <cell r="E212">
            <v>2.2000000000000002</v>
          </cell>
          <cell r="F212">
            <v>1588.4</v>
          </cell>
          <cell r="G212">
            <v>33.549999999999997</v>
          </cell>
          <cell r="H212">
            <v>24223.1</v>
          </cell>
          <cell r="I212">
            <v>15.249999999999998</v>
          </cell>
          <cell r="J212">
            <v>22634.699999999997</v>
          </cell>
          <cell r="M212" t="str">
            <v>Калининский</v>
          </cell>
        </row>
        <row r="213">
          <cell r="A213">
            <v>5</v>
          </cell>
          <cell r="B213" t="str">
            <v>Черный щебень-28 км</v>
          </cell>
          <cell r="C213" t="str">
            <v>т</v>
          </cell>
          <cell r="D213">
            <v>998</v>
          </cell>
          <cell r="E213">
            <v>2.2000000000000002</v>
          </cell>
          <cell r="F213">
            <v>2195.6000000000004</v>
          </cell>
          <cell r="G213">
            <v>33.549999999999997</v>
          </cell>
          <cell r="H213">
            <v>33482.899999999994</v>
          </cell>
          <cell r="I213">
            <v>15.249999999999995</v>
          </cell>
          <cell r="J213">
            <v>31287.299999999996</v>
          </cell>
          <cell r="M213" t="str">
            <v>Калининский</v>
          </cell>
        </row>
        <row r="214">
          <cell r="A214">
            <v>6</v>
          </cell>
          <cell r="B214" t="str">
            <v>Доп тр битума</v>
          </cell>
          <cell r="C214" t="str">
            <v>т</v>
          </cell>
          <cell r="F214">
            <v>254</v>
          </cell>
          <cell r="H214">
            <v>0</v>
          </cell>
          <cell r="I214">
            <v>0</v>
          </cell>
          <cell r="J214">
            <v>-254</v>
          </cell>
          <cell r="M214" t="str">
            <v>Калининский</v>
          </cell>
        </row>
        <row r="215">
          <cell r="A215">
            <v>7</v>
          </cell>
          <cell r="C215" t="str">
            <v>т</v>
          </cell>
          <cell r="F215">
            <v>0</v>
          </cell>
          <cell r="H215">
            <v>0</v>
          </cell>
          <cell r="I215" t="e">
            <v>#DIV/0!</v>
          </cell>
          <cell r="J215">
            <v>0</v>
          </cell>
          <cell r="M215" t="str">
            <v>Калининский</v>
          </cell>
        </row>
        <row r="216">
          <cell r="A216">
            <v>8</v>
          </cell>
          <cell r="C216" t="str">
            <v>т</v>
          </cell>
          <cell r="F216">
            <v>0</v>
          </cell>
          <cell r="H216">
            <v>0</v>
          </cell>
          <cell r="I216" t="e">
            <v>#DIV/0!</v>
          </cell>
          <cell r="J216">
            <v>0</v>
          </cell>
          <cell r="M216" t="str">
            <v>Калининский</v>
          </cell>
        </row>
        <row r="217">
          <cell r="A217">
            <v>9</v>
          </cell>
          <cell r="C217" t="str">
            <v>т</v>
          </cell>
          <cell r="F217">
            <v>0</v>
          </cell>
          <cell r="H217">
            <v>0</v>
          </cell>
          <cell r="I217" t="e">
            <v>#DIV/0!</v>
          </cell>
          <cell r="J217">
            <v>0</v>
          </cell>
          <cell r="M217" t="str">
            <v>Калининский</v>
          </cell>
        </row>
        <row r="218">
          <cell r="A218">
            <v>10</v>
          </cell>
          <cell r="C218" t="str">
            <v>т</v>
          </cell>
          <cell r="F218">
            <v>0</v>
          </cell>
          <cell r="H218">
            <v>0</v>
          </cell>
          <cell r="I218" t="e">
            <v>#DIV/0!</v>
          </cell>
          <cell r="J218">
            <v>0</v>
          </cell>
          <cell r="M218" t="str">
            <v>Калининский</v>
          </cell>
        </row>
        <row r="219">
          <cell r="M219" t="str">
            <v>Калининский</v>
          </cell>
        </row>
        <row r="220">
          <cell r="B220" t="str">
            <v>Заготовительно-складские расходы</v>
          </cell>
          <cell r="F220">
            <v>0</v>
          </cell>
          <cell r="H220">
            <v>0</v>
          </cell>
          <cell r="I220" t="e">
            <v>#DIV/0!</v>
          </cell>
          <cell r="J220">
            <v>0</v>
          </cell>
          <cell r="M220" t="str">
            <v>Калининский</v>
          </cell>
        </row>
        <row r="221">
          <cell r="A221">
            <v>1</v>
          </cell>
          <cell r="B221" t="str">
            <v>ПГС</v>
          </cell>
          <cell r="C221" t="str">
            <v>руб</v>
          </cell>
          <cell r="E221">
            <v>10224.64</v>
          </cell>
          <cell r="F221">
            <v>0</v>
          </cell>
          <cell r="H221">
            <v>0</v>
          </cell>
          <cell r="I221" t="e">
            <v>#DIV/0!</v>
          </cell>
          <cell r="J221">
            <v>0</v>
          </cell>
          <cell r="M221" t="str">
            <v>Калининский</v>
          </cell>
        </row>
        <row r="222">
          <cell r="A222">
            <v>2</v>
          </cell>
          <cell r="B222" t="str">
            <v xml:space="preserve">Битум вязкий </v>
          </cell>
          <cell r="C222" t="str">
            <v>руб</v>
          </cell>
          <cell r="E222">
            <v>2365.0919999999996</v>
          </cell>
          <cell r="F222">
            <v>0</v>
          </cell>
          <cell r="H222">
            <v>0</v>
          </cell>
          <cell r="I222" t="e">
            <v>#DIV/0!</v>
          </cell>
          <cell r="J222">
            <v>0</v>
          </cell>
          <cell r="M222" t="str">
            <v>Калининский</v>
          </cell>
        </row>
        <row r="223">
          <cell r="A223">
            <v>3</v>
          </cell>
          <cell r="B223" t="str">
            <v>Битум жидкий</v>
          </cell>
          <cell r="C223" t="str">
            <v>руб</v>
          </cell>
          <cell r="E223">
            <v>1174.8797999999999</v>
          </cell>
          <cell r="F223">
            <v>0</v>
          </cell>
          <cell r="H223">
            <v>0</v>
          </cell>
          <cell r="I223" t="e">
            <v>#DIV/0!</v>
          </cell>
          <cell r="J223">
            <v>0</v>
          </cell>
          <cell r="M223" t="str">
            <v>Калининский</v>
          </cell>
        </row>
        <row r="224">
          <cell r="A224">
            <v>4</v>
          </cell>
          <cell r="B224" t="str">
            <v>М/з а/ бетонная смесь</v>
          </cell>
          <cell r="C224" t="str">
            <v>руб</v>
          </cell>
          <cell r="E224">
            <v>12302.88</v>
          </cell>
          <cell r="F224">
            <v>0</v>
          </cell>
          <cell r="H224">
            <v>0</v>
          </cell>
          <cell r="I224" t="e">
            <v>#DIV/0!</v>
          </cell>
          <cell r="J224">
            <v>0</v>
          </cell>
          <cell r="M224" t="str">
            <v>Калининский</v>
          </cell>
        </row>
        <row r="225">
          <cell r="A225">
            <v>5</v>
          </cell>
          <cell r="B225" t="str">
            <v>черный щебень</v>
          </cell>
          <cell r="C225" t="str">
            <v>руб</v>
          </cell>
          <cell r="E225">
            <v>14970</v>
          </cell>
          <cell r="F225">
            <v>0</v>
          </cell>
          <cell r="H225">
            <v>0</v>
          </cell>
          <cell r="I225" t="e">
            <v>#DIV/0!</v>
          </cell>
          <cell r="J225">
            <v>0</v>
          </cell>
          <cell r="M225" t="str">
            <v>Калининский</v>
          </cell>
        </row>
        <row r="226">
          <cell r="A226">
            <v>6</v>
          </cell>
          <cell r="B226">
            <v>0</v>
          </cell>
          <cell r="C226" t="str">
            <v>руб</v>
          </cell>
          <cell r="E226">
            <v>254</v>
          </cell>
          <cell r="F226">
            <v>0</v>
          </cell>
          <cell r="H226">
            <v>0</v>
          </cell>
          <cell r="I226" t="e">
            <v>#DIV/0!</v>
          </cell>
          <cell r="J226">
            <v>0</v>
          </cell>
          <cell r="M226" t="str">
            <v>Калининский</v>
          </cell>
        </row>
        <row r="227">
          <cell r="A227">
            <v>7</v>
          </cell>
          <cell r="B227">
            <v>0</v>
          </cell>
          <cell r="C227" t="str">
            <v>руб</v>
          </cell>
          <cell r="E227">
            <v>0</v>
          </cell>
          <cell r="F227">
            <v>0</v>
          </cell>
          <cell r="H227">
            <v>0</v>
          </cell>
          <cell r="I227" t="e">
            <v>#DIV/0!</v>
          </cell>
          <cell r="J227">
            <v>0</v>
          </cell>
          <cell r="M227" t="str">
            <v>Калининский</v>
          </cell>
        </row>
        <row r="228">
          <cell r="A228">
            <v>8</v>
          </cell>
          <cell r="B228">
            <v>0</v>
          </cell>
          <cell r="C228" t="str">
            <v>руб</v>
          </cell>
          <cell r="E228">
            <v>0</v>
          </cell>
          <cell r="F228">
            <v>0</v>
          </cell>
          <cell r="H228">
            <v>0</v>
          </cell>
          <cell r="I228" t="e">
            <v>#DIV/0!</v>
          </cell>
          <cell r="J228">
            <v>0</v>
          </cell>
          <cell r="M228" t="str">
            <v>Калининский</v>
          </cell>
        </row>
        <row r="229">
          <cell r="A229">
            <v>9</v>
          </cell>
          <cell r="B229">
            <v>0</v>
          </cell>
          <cell r="C229" t="str">
            <v>руб</v>
          </cell>
          <cell r="E229">
            <v>0</v>
          </cell>
          <cell r="F229">
            <v>0</v>
          </cell>
          <cell r="H229">
            <v>0</v>
          </cell>
          <cell r="I229" t="e">
            <v>#DIV/0!</v>
          </cell>
          <cell r="J229">
            <v>0</v>
          </cell>
          <cell r="M229" t="str">
            <v>Калининский</v>
          </cell>
        </row>
        <row r="230">
          <cell r="A230">
            <v>10</v>
          </cell>
          <cell r="B230">
            <v>0</v>
          </cell>
          <cell r="C230" t="str">
            <v>руб</v>
          </cell>
          <cell r="E230">
            <v>0</v>
          </cell>
          <cell r="F230">
            <v>0</v>
          </cell>
          <cell r="H230">
            <v>0</v>
          </cell>
          <cell r="I230" t="e">
            <v>#DIV/0!</v>
          </cell>
          <cell r="J230">
            <v>0</v>
          </cell>
          <cell r="M230" t="str">
            <v>Калининский</v>
          </cell>
        </row>
        <row r="231">
          <cell r="M231" t="str">
            <v>Калининский</v>
          </cell>
        </row>
        <row r="232">
          <cell r="M232" t="str">
            <v>Калининский</v>
          </cell>
        </row>
        <row r="233">
          <cell r="B233" t="str">
            <v>Составил:______________________________</v>
          </cell>
          <cell r="M233" t="str">
            <v>Калининский</v>
          </cell>
        </row>
        <row r="234">
          <cell r="M234" t="str">
            <v>Калининский</v>
          </cell>
        </row>
        <row r="235">
          <cell r="B235" t="str">
            <v>Начальник ТДО: ________________________</v>
          </cell>
        </row>
        <row r="236">
          <cell r="B236" t="str">
            <v>Район: Калининский \ Тимашевск - Славянск-на-Кубани - Крымск ;  км: 28+000-33+000 \ Облегченный ремонт - III вариант</v>
          </cell>
          <cell r="K236">
            <v>100</v>
          </cell>
          <cell r="M236" t="str">
            <v>Калининский</v>
          </cell>
        </row>
        <row r="237">
          <cell r="A237" t="str">
            <v>100-1.1.</v>
          </cell>
          <cell r="B237" t="str">
            <v>Фонд заработной платы</v>
          </cell>
          <cell r="D237">
            <v>6799</v>
          </cell>
          <cell r="F237">
            <v>4436</v>
          </cell>
          <cell r="H237">
            <v>90067</v>
          </cell>
          <cell r="I237">
            <v>20</v>
          </cell>
          <cell r="J237">
            <v>85631</v>
          </cell>
          <cell r="K237">
            <v>100</v>
          </cell>
          <cell r="L237" t="str">
            <v>1.1.</v>
          </cell>
          <cell r="M237" t="str">
            <v>Калининский</v>
          </cell>
        </row>
        <row r="238">
          <cell r="A238" t="str">
            <v>100-1.1.1.</v>
          </cell>
          <cell r="B238" t="str">
            <v>Основные рабочие</v>
          </cell>
          <cell r="C238" t="str">
            <v>ч/ч</v>
          </cell>
          <cell r="D238">
            <v>4688</v>
          </cell>
          <cell r="E238">
            <v>0.55200000000000005</v>
          </cell>
          <cell r="F238">
            <v>2590</v>
          </cell>
          <cell r="G238">
            <v>12.2</v>
          </cell>
          <cell r="H238">
            <v>57198</v>
          </cell>
          <cell r="I238">
            <v>22.08</v>
          </cell>
          <cell r="J238">
            <v>54608</v>
          </cell>
          <cell r="K238">
            <v>100</v>
          </cell>
          <cell r="L238" t="str">
            <v>1.1.1.</v>
          </cell>
          <cell r="M238" t="str">
            <v>Калининский</v>
          </cell>
        </row>
        <row r="239">
          <cell r="A239" t="str">
            <v>100-1.1.2.</v>
          </cell>
          <cell r="B239" t="str">
            <v>Машинисты</v>
          </cell>
          <cell r="C239" t="str">
            <v>ч/ч</v>
          </cell>
          <cell r="D239">
            <v>2111</v>
          </cell>
          <cell r="E239">
            <v>0.874</v>
          </cell>
          <cell r="F239">
            <v>1846</v>
          </cell>
          <cell r="G239">
            <v>15.57</v>
          </cell>
          <cell r="H239">
            <v>32868</v>
          </cell>
          <cell r="I239">
            <v>17.809999999999999</v>
          </cell>
          <cell r="J239">
            <v>31022</v>
          </cell>
          <cell r="K239">
            <v>100</v>
          </cell>
          <cell r="L239" t="str">
            <v>1.1.2.</v>
          </cell>
          <cell r="M239" t="str">
            <v>Калининский</v>
          </cell>
        </row>
        <row r="240">
          <cell r="M240" t="str">
            <v>Калининский</v>
          </cell>
        </row>
        <row r="241">
          <cell r="A241" t="str">
            <v>100-1.2.</v>
          </cell>
          <cell r="B241" t="str">
            <v>Технические ресурсы по нормам СНиП (без зарботной платы машиниста)</v>
          </cell>
          <cell r="F241">
            <v>4125</v>
          </cell>
          <cell r="H241">
            <v>207017</v>
          </cell>
          <cell r="I241">
            <v>50.19</v>
          </cell>
          <cell r="J241">
            <v>202892</v>
          </cell>
          <cell r="K241">
            <v>100</v>
          </cell>
          <cell r="L241" t="str">
            <v>1.2.</v>
          </cell>
          <cell r="M241" t="str">
            <v>Калининский</v>
          </cell>
        </row>
        <row r="242">
          <cell r="A242">
            <v>1</v>
          </cell>
          <cell r="B242" t="str">
            <v>Автогрейдер средний</v>
          </cell>
          <cell r="C242" t="str">
            <v>м/ч</v>
          </cell>
          <cell r="D242">
            <v>86</v>
          </cell>
          <cell r="E242">
            <v>2.48</v>
          </cell>
          <cell r="F242">
            <v>213</v>
          </cell>
          <cell r="G242">
            <v>125.03</v>
          </cell>
          <cell r="H242">
            <v>10753</v>
          </cell>
          <cell r="I242">
            <v>50.42</v>
          </cell>
          <cell r="J242">
            <v>10539</v>
          </cell>
          <cell r="M242" t="str">
            <v>Калининский</v>
          </cell>
        </row>
        <row r="243">
          <cell r="A243">
            <v>2</v>
          </cell>
          <cell r="B243" t="str">
            <v>Щебнераспределитель</v>
          </cell>
          <cell r="C243" t="str">
            <v>м/ч</v>
          </cell>
          <cell r="D243">
            <v>51</v>
          </cell>
          <cell r="E243">
            <v>4.21</v>
          </cell>
          <cell r="F243">
            <v>217</v>
          </cell>
          <cell r="G243">
            <v>86.93</v>
          </cell>
          <cell r="H243">
            <v>4475</v>
          </cell>
          <cell r="I243">
            <v>20.65</v>
          </cell>
          <cell r="J243">
            <v>4258</v>
          </cell>
          <cell r="M243" t="str">
            <v>Калининский</v>
          </cell>
        </row>
        <row r="244">
          <cell r="A244">
            <v>3</v>
          </cell>
          <cell r="B244" t="str">
            <v>Автогудронатор 3500л</v>
          </cell>
          <cell r="C244" t="str">
            <v>м/ч</v>
          </cell>
          <cell r="D244">
            <v>10</v>
          </cell>
          <cell r="E244">
            <v>5.99</v>
          </cell>
          <cell r="F244">
            <v>60</v>
          </cell>
          <cell r="G244">
            <v>77.02</v>
          </cell>
          <cell r="H244">
            <v>776</v>
          </cell>
          <cell r="I244">
            <v>12.86</v>
          </cell>
          <cell r="J244">
            <v>716</v>
          </cell>
          <cell r="M244" t="str">
            <v>Калининский</v>
          </cell>
        </row>
        <row r="245">
          <cell r="A245">
            <v>4</v>
          </cell>
          <cell r="B245" t="str">
            <v>Машина поливомоечная</v>
          </cell>
          <cell r="C245" t="str">
            <v>м/ч</v>
          </cell>
          <cell r="D245">
            <v>29</v>
          </cell>
          <cell r="E245">
            <v>6.16</v>
          </cell>
          <cell r="F245">
            <v>176</v>
          </cell>
          <cell r="G245">
            <v>197.6</v>
          </cell>
          <cell r="H245">
            <v>5636</v>
          </cell>
          <cell r="I245">
            <v>32.08</v>
          </cell>
          <cell r="J245">
            <v>5461</v>
          </cell>
          <cell r="M245" t="str">
            <v>Калининский</v>
          </cell>
        </row>
        <row r="246">
          <cell r="A246">
            <v>5</v>
          </cell>
          <cell r="B246" t="str">
            <v xml:space="preserve">Каток  самоходный гладкий 5 тн </v>
          </cell>
          <cell r="C246" t="str">
            <v>м/ч</v>
          </cell>
          <cell r="D246">
            <v>685</v>
          </cell>
          <cell r="E246">
            <v>1.81</v>
          </cell>
          <cell r="F246">
            <v>1241</v>
          </cell>
          <cell r="G246">
            <v>80.16</v>
          </cell>
          <cell r="H246">
            <v>54949</v>
          </cell>
          <cell r="I246">
            <v>44.29</v>
          </cell>
          <cell r="J246">
            <v>53708</v>
          </cell>
          <cell r="M246" t="str">
            <v>Калининский</v>
          </cell>
        </row>
        <row r="247">
          <cell r="A247">
            <v>6</v>
          </cell>
          <cell r="B247" t="str">
            <v xml:space="preserve">Каток вальцевый  10 тн </v>
          </cell>
          <cell r="C247" t="str">
            <v>м/ч</v>
          </cell>
          <cell r="D247">
            <v>668</v>
          </cell>
          <cell r="E247">
            <v>1.69</v>
          </cell>
          <cell r="F247">
            <v>1129</v>
          </cell>
          <cell r="G247">
            <v>117.14</v>
          </cell>
          <cell r="H247">
            <v>78254</v>
          </cell>
          <cell r="I247">
            <v>69.31</v>
          </cell>
          <cell r="J247">
            <v>77125</v>
          </cell>
          <cell r="M247" t="str">
            <v>Калининский</v>
          </cell>
        </row>
        <row r="248">
          <cell r="A248">
            <v>7</v>
          </cell>
          <cell r="B248" t="str">
            <v>Укладчик а/бетона</v>
          </cell>
          <cell r="C248" t="str">
            <v>м/ч</v>
          </cell>
          <cell r="D248">
            <v>296</v>
          </cell>
          <cell r="E248">
            <v>2.29</v>
          </cell>
          <cell r="F248">
            <v>677</v>
          </cell>
          <cell r="G248">
            <v>148.81</v>
          </cell>
          <cell r="H248">
            <v>43991</v>
          </cell>
          <cell r="I248">
            <v>64.98</v>
          </cell>
          <cell r="J248">
            <v>43314</v>
          </cell>
          <cell r="M248" t="str">
            <v>Калининский</v>
          </cell>
        </row>
        <row r="249">
          <cell r="A249">
            <v>8</v>
          </cell>
          <cell r="B249" t="str">
            <v>Пневмокаток 18тн</v>
          </cell>
          <cell r="C249" t="str">
            <v>м/ч</v>
          </cell>
          <cell r="D249">
            <v>11</v>
          </cell>
          <cell r="E249">
            <v>4.88</v>
          </cell>
          <cell r="F249">
            <v>54</v>
          </cell>
          <cell r="G249">
            <v>94.73</v>
          </cell>
          <cell r="H249">
            <v>1045</v>
          </cell>
          <cell r="I249">
            <v>19.41</v>
          </cell>
          <cell r="J249">
            <v>991</v>
          </cell>
          <cell r="M249" t="str">
            <v>Калининский</v>
          </cell>
        </row>
        <row r="250">
          <cell r="A250">
            <v>9</v>
          </cell>
          <cell r="B250" t="str">
            <v>Автогудронатор 7000 л</v>
          </cell>
          <cell r="C250" t="str">
            <v>м/ч</v>
          </cell>
          <cell r="D250">
            <v>10</v>
          </cell>
          <cell r="E250">
            <v>7.22</v>
          </cell>
          <cell r="F250">
            <v>73</v>
          </cell>
          <cell r="G250">
            <v>141.41</v>
          </cell>
          <cell r="H250">
            <v>1425</v>
          </cell>
          <cell r="I250">
            <v>19.59</v>
          </cell>
          <cell r="J250">
            <v>1353</v>
          </cell>
          <cell r="M250" t="str">
            <v>Калининский</v>
          </cell>
        </row>
        <row r="251">
          <cell r="A251">
            <v>10</v>
          </cell>
          <cell r="B251" t="str">
            <v>Прочие машины</v>
          </cell>
          <cell r="C251" t="str">
            <v>руб</v>
          </cell>
          <cell r="D251">
            <v>286</v>
          </cell>
          <cell r="E251">
            <v>1</v>
          </cell>
          <cell r="F251">
            <v>286</v>
          </cell>
          <cell r="G251">
            <v>20</v>
          </cell>
          <cell r="H251">
            <v>5713</v>
          </cell>
          <cell r="I251">
            <v>20</v>
          </cell>
          <cell r="J251">
            <v>5427</v>
          </cell>
          <cell r="M251" t="str">
            <v>Калининский</v>
          </cell>
        </row>
        <row r="252">
          <cell r="M252" t="str">
            <v>Калининский</v>
          </cell>
        </row>
        <row r="253">
          <cell r="A253" t="str">
            <v>100-1.3.</v>
          </cell>
          <cell r="B253" t="str">
            <v>Материалы</v>
          </cell>
          <cell r="F253">
            <v>146643</v>
          </cell>
          <cell r="H253">
            <v>4497076</v>
          </cell>
          <cell r="I253">
            <v>30.67</v>
          </cell>
          <cell r="J253">
            <v>4350433</v>
          </cell>
          <cell r="K253">
            <v>100</v>
          </cell>
          <cell r="L253" t="str">
            <v>1.3.</v>
          </cell>
          <cell r="M253" t="str">
            <v>Калининский</v>
          </cell>
        </row>
        <row r="254">
          <cell r="B254" t="str">
            <v>Материальные ресурсы по нормам СНиП</v>
          </cell>
          <cell r="F254">
            <v>117600</v>
          </cell>
          <cell r="H254">
            <v>3976231</v>
          </cell>
          <cell r="I254">
            <v>33.81</v>
          </cell>
          <cell r="J254">
            <v>3858631</v>
          </cell>
          <cell r="M254" t="str">
            <v>Калининский</v>
          </cell>
        </row>
        <row r="255">
          <cell r="A255">
            <v>1</v>
          </cell>
          <cell r="B255" t="str">
            <v>ПГС</v>
          </cell>
          <cell r="C255" t="str">
            <v>м3</v>
          </cell>
          <cell r="D255">
            <v>1823</v>
          </cell>
          <cell r="E255">
            <v>1.9</v>
          </cell>
          <cell r="F255">
            <v>3464</v>
          </cell>
          <cell r="G255">
            <v>40.57</v>
          </cell>
          <cell r="H255">
            <v>73959</v>
          </cell>
          <cell r="I255">
            <v>21.35</v>
          </cell>
          <cell r="J255">
            <v>70495</v>
          </cell>
          <cell r="M255" t="str">
            <v>Калининский</v>
          </cell>
        </row>
        <row r="256">
          <cell r="A256">
            <v>2</v>
          </cell>
          <cell r="B256" t="str">
            <v xml:space="preserve">Битум жидкий </v>
          </cell>
          <cell r="C256" t="str">
            <v>т</v>
          </cell>
          <cell r="D256">
            <v>20.6</v>
          </cell>
          <cell r="E256">
            <v>63.37</v>
          </cell>
          <cell r="F256">
            <v>1305</v>
          </cell>
          <cell r="G256">
            <v>3493.63</v>
          </cell>
          <cell r="H256">
            <v>71969</v>
          </cell>
          <cell r="I256">
            <v>55.13</v>
          </cell>
          <cell r="J256">
            <v>70663</v>
          </cell>
          <cell r="M256" t="str">
            <v>Калининский</v>
          </cell>
        </row>
        <row r="257">
          <cell r="A257">
            <v>3</v>
          </cell>
          <cell r="B257" t="str">
            <v>Битум вязкий</v>
          </cell>
          <cell r="C257" t="str">
            <v>т</v>
          </cell>
          <cell r="D257">
            <v>35.270000000000003</v>
          </cell>
          <cell r="E257">
            <v>65.88</v>
          </cell>
          <cell r="F257">
            <v>2324</v>
          </cell>
          <cell r="G257">
            <v>3528.4</v>
          </cell>
          <cell r="H257">
            <v>124447</v>
          </cell>
          <cell r="I257">
            <v>53.56</v>
          </cell>
          <cell r="J257">
            <v>122123</v>
          </cell>
          <cell r="M257" t="str">
            <v>Калининский</v>
          </cell>
        </row>
        <row r="258">
          <cell r="A258">
            <v>4</v>
          </cell>
          <cell r="B258" t="str">
            <v>М/з а/ бетонная смесь (выравн.сл)</v>
          </cell>
          <cell r="C258" t="str">
            <v>т</v>
          </cell>
          <cell r="D258">
            <v>1777</v>
          </cell>
          <cell r="E258">
            <v>14.84</v>
          </cell>
          <cell r="F258">
            <v>26371</v>
          </cell>
          <cell r="G258">
            <v>569.5</v>
          </cell>
          <cell r="H258">
            <v>1012002</v>
          </cell>
          <cell r="I258">
            <v>38.380000000000003</v>
          </cell>
          <cell r="J258">
            <v>985631</v>
          </cell>
          <cell r="M258" t="str">
            <v>Калининский</v>
          </cell>
        </row>
        <row r="259">
          <cell r="A259">
            <v>5</v>
          </cell>
          <cell r="B259" t="str">
            <v>черный щебень</v>
          </cell>
          <cell r="C259" t="str">
            <v>т</v>
          </cell>
          <cell r="D259">
            <v>980</v>
          </cell>
          <cell r="E259">
            <v>12.8</v>
          </cell>
          <cell r="F259">
            <v>12544</v>
          </cell>
          <cell r="G259">
            <v>372.88</v>
          </cell>
          <cell r="H259">
            <v>365422</v>
          </cell>
          <cell r="I259">
            <v>29.13</v>
          </cell>
          <cell r="J259">
            <v>352878</v>
          </cell>
          <cell r="M259" t="str">
            <v>Калининский</v>
          </cell>
        </row>
        <row r="260">
          <cell r="A260">
            <v>6</v>
          </cell>
          <cell r="B260" t="str">
            <v>М/з а/ бетонная смесь (слой покрытия)</v>
          </cell>
          <cell r="C260" t="str">
            <v>т</v>
          </cell>
          <cell r="D260">
            <v>4772</v>
          </cell>
          <cell r="E260">
            <v>14.84</v>
          </cell>
          <cell r="F260">
            <v>70816</v>
          </cell>
          <cell r="G260">
            <v>486.31</v>
          </cell>
          <cell r="H260">
            <v>2320671</v>
          </cell>
          <cell r="I260">
            <v>32.770000000000003</v>
          </cell>
          <cell r="J260">
            <v>2249855</v>
          </cell>
          <cell r="M260" t="str">
            <v>Калининский</v>
          </cell>
        </row>
        <row r="261">
          <cell r="A261">
            <v>7</v>
          </cell>
          <cell r="B261" t="str">
            <v>Прочие материалы</v>
          </cell>
          <cell r="C261" t="str">
            <v>руб</v>
          </cell>
          <cell r="D261">
            <v>776.13</v>
          </cell>
          <cell r="E261">
            <v>1</v>
          </cell>
          <cell r="F261">
            <v>776</v>
          </cell>
          <cell r="G261">
            <v>10</v>
          </cell>
          <cell r="H261">
            <v>7761</v>
          </cell>
          <cell r="I261">
            <v>10</v>
          </cell>
          <cell r="J261">
            <v>6985</v>
          </cell>
          <cell r="M261" t="str">
            <v>Калининский</v>
          </cell>
        </row>
        <row r="262">
          <cell r="A262">
            <v>8</v>
          </cell>
          <cell r="F262">
            <v>0</v>
          </cell>
          <cell r="H262">
            <v>0</v>
          </cell>
          <cell r="I262" t="e">
            <v>#DIV/0!</v>
          </cell>
          <cell r="J262">
            <v>0</v>
          </cell>
          <cell r="M262" t="str">
            <v>Калининский</v>
          </cell>
        </row>
        <row r="263">
          <cell r="A263">
            <v>9</v>
          </cell>
          <cell r="F263">
            <v>0</v>
          </cell>
          <cell r="H263">
            <v>0</v>
          </cell>
          <cell r="I263" t="e">
            <v>#DIV/0!</v>
          </cell>
          <cell r="J263">
            <v>0</v>
          </cell>
          <cell r="M263" t="str">
            <v>Калининский</v>
          </cell>
        </row>
        <row r="264">
          <cell r="A264">
            <v>10</v>
          </cell>
          <cell r="F264">
            <v>0</v>
          </cell>
          <cell r="H264">
            <v>0</v>
          </cell>
          <cell r="I264" t="e">
            <v>#DIV/0!</v>
          </cell>
          <cell r="J264">
            <v>0</v>
          </cell>
          <cell r="M264" t="str">
            <v>Калининский</v>
          </cell>
        </row>
        <row r="265">
          <cell r="M265" t="str">
            <v>Калининский</v>
          </cell>
        </row>
        <row r="266">
          <cell r="B266" t="str">
            <v>Транспортировка материалов, т (вид транспорта, км)</v>
          </cell>
          <cell r="F266">
            <v>29043</v>
          </cell>
          <cell r="H266">
            <v>520845</v>
          </cell>
          <cell r="I266">
            <v>17.93</v>
          </cell>
          <cell r="J266">
            <v>491802</v>
          </cell>
          <cell r="M266" t="str">
            <v>Калининский</v>
          </cell>
        </row>
        <row r="267">
          <cell r="A267">
            <v>1</v>
          </cell>
          <cell r="B267" t="str">
            <v>ПГС - 143 км</v>
          </cell>
          <cell r="C267" t="str">
            <v>т</v>
          </cell>
          <cell r="D267">
            <v>3281</v>
          </cell>
          <cell r="E267">
            <v>6.58</v>
          </cell>
          <cell r="F267">
            <v>21589</v>
          </cell>
          <cell r="G267">
            <v>141.26</v>
          </cell>
          <cell r="H267">
            <v>463474</v>
          </cell>
          <cell r="I267">
            <v>21.47</v>
          </cell>
          <cell r="J267">
            <v>441885</v>
          </cell>
          <cell r="M267" t="str">
            <v>Калининский</v>
          </cell>
        </row>
        <row r="268">
          <cell r="A268">
            <v>2</v>
          </cell>
          <cell r="B268" t="str">
            <v>Битум вязкий  46 км</v>
          </cell>
          <cell r="C268" t="str">
            <v>т</v>
          </cell>
          <cell r="D268">
            <v>35.270000000000003</v>
          </cell>
          <cell r="F268">
            <v>0</v>
          </cell>
          <cell r="H268">
            <v>0</v>
          </cell>
          <cell r="I268" t="e">
            <v>#DIV/0!</v>
          </cell>
          <cell r="J268">
            <v>0</v>
          </cell>
          <cell r="M268" t="str">
            <v>Калининский</v>
          </cell>
        </row>
        <row r="269">
          <cell r="A269">
            <v>3</v>
          </cell>
          <cell r="B269" t="str">
            <v>Битум жидкий-46 км</v>
          </cell>
          <cell r="C269" t="str">
            <v>т</v>
          </cell>
          <cell r="D269">
            <v>20.6</v>
          </cell>
          <cell r="F269">
            <v>0</v>
          </cell>
          <cell r="H269">
            <v>0</v>
          </cell>
          <cell r="I269" t="e">
            <v>#DIV/0!</v>
          </cell>
          <cell r="J269">
            <v>0</v>
          </cell>
          <cell r="M269" t="str">
            <v>Калининский</v>
          </cell>
        </row>
        <row r="270">
          <cell r="A270">
            <v>4</v>
          </cell>
          <cell r="B270" t="str">
            <v>М/з а/ бетонная смесь (выравн.сл)</v>
          </cell>
          <cell r="C270" t="str">
            <v>т</v>
          </cell>
          <cell r="D270">
            <v>1777</v>
          </cell>
          <cell r="E270">
            <v>0.99</v>
          </cell>
          <cell r="F270">
            <v>1759</v>
          </cell>
          <cell r="G270">
            <v>7.62</v>
          </cell>
          <cell r="H270">
            <v>13541</v>
          </cell>
          <cell r="I270">
            <v>7.7</v>
          </cell>
          <cell r="J270">
            <v>11782</v>
          </cell>
          <cell r="M270" t="str">
            <v>Калининский</v>
          </cell>
        </row>
        <row r="271">
          <cell r="A271">
            <v>5</v>
          </cell>
          <cell r="B271" t="str">
            <v>Черный щебень-6 км</v>
          </cell>
          <cell r="C271" t="str">
            <v>т</v>
          </cell>
          <cell r="D271">
            <v>980</v>
          </cell>
          <cell r="E271">
            <v>0.99</v>
          </cell>
          <cell r="F271">
            <v>970</v>
          </cell>
          <cell r="G271">
            <v>7.62</v>
          </cell>
          <cell r="H271">
            <v>7468</v>
          </cell>
          <cell r="I271">
            <v>7.7</v>
          </cell>
          <cell r="J271">
            <v>6497</v>
          </cell>
          <cell r="M271" t="str">
            <v>Калининский</v>
          </cell>
        </row>
        <row r="272">
          <cell r="A272">
            <v>6</v>
          </cell>
          <cell r="B272" t="str">
            <v>М/з а/ бетонная смесь (слой покрытия)</v>
          </cell>
          <cell r="C272" t="str">
            <v>т</v>
          </cell>
          <cell r="D272">
            <v>4772</v>
          </cell>
          <cell r="E272">
            <v>0.99</v>
          </cell>
          <cell r="F272">
            <v>4724</v>
          </cell>
          <cell r="G272">
            <v>7.62</v>
          </cell>
          <cell r="H272">
            <v>36363</v>
          </cell>
          <cell r="I272">
            <v>7.7</v>
          </cell>
          <cell r="J272">
            <v>31638</v>
          </cell>
          <cell r="M272" t="str">
            <v>Калининский</v>
          </cell>
        </row>
        <row r="273">
          <cell r="A273">
            <v>7</v>
          </cell>
          <cell r="C273" t="str">
            <v>т</v>
          </cell>
          <cell r="F273">
            <v>0</v>
          </cell>
          <cell r="H273">
            <v>0</v>
          </cell>
          <cell r="I273" t="e">
            <v>#DIV/0!</v>
          </cell>
          <cell r="J273">
            <v>0</v>
          </cell>
          <cell r="M273" t="str">
            <v>Калининский</v>
          </cell>
        </row>
        <row r="274">
          <cell r="A274">
            <v>8</v>
          </cell>
          <cell r="C274" t="str">
            <v>т</v>
          </cell>
          <cell r="F274">
            <v>0</v>
          </cell>
          <cell r="H274">
            <v>0</v>
          </cell>
          <cell r="I274" t="e">
            <v>#DIV/0!</v>
          </cell>
          <cell r="J274">
            <v>0</v>
          </cell>
          <cell r="M274" t="str">
            <v>Калининский</v>
          </cell>
        </row>
        <row r="275">
          <cell r="A275">
            <v>9</v>
          </cell>
          <cell r="C275" t="str">
            <v>т</v>
          </cell>
          <cell r="F275">
            <v>0</v>
          </cell>
          <cell r="H275">
            <v>0</v>
          </cell>
          <cell r="I275" t="e">
            <v>#DIV/0!</v>
          </cell>
          <cell r="J275">
            <v>0</v>
          </cell>
          <cell r="M275" t="str">
            <v>Калининский</v>
          </cell>
        </row>
        <row r="276">
          <cell r="A276">
            <v>10</v>
          </cell>
          <cell r="C276" t="str">
            <v>т</v>
          </cell>
          <cell r="F276">
            <v>0</v>
          </cell>
          <cell r="H276">
            <v>0</v>
          </cell>
          <cell r="I276" t="e">
            <v>#DIV/0!</v>
          </cell>
          <cell r="J276">
            <v>0</v>
          </cell>
          <cell r="M276" t="str">
            <v>Калининский</v>
          </cell>
        </row>
        <row r="277">
          <cell r="M277" t="str">
            <v>Калининский</v>
          </cell>
        </row>
        <row r="278">
          <cell r="B278" t="str">
            <v>Заготовительно-складские расходы</v>
          </cell>
          <cell r="F278">
            <v>0</v>
          </cell>
          <cell r="H278">
            <v>0</v>
          </cell>
          <cell r="I278" t="e">
            <v>#DIV/0!</v>
          </cell>
          <cell r="J278">
            <v>0</v>
          </cell>
          <cell r="M278" t="str">
            <v>Калининский</v>
          </cell>
        </row>
        <row r="279">
          <cell r="A279">
            <v>1</v>
          </cell>
          <cell r="B279" t="str">
            <v>ПГС</v>
          </cell>
          <cell r="C279" t="str">
            <v>руб</v>
          </cell>
          <cell r="E279">
            <v>25052.68</v>
          </cell>
          <cell r="F279">
            <v>0</v>
          </cell>
          <cell r="H279">
            <v>0</v>
          </cell>
          <cell r="I279" t="e">
            <v>#DIV/0!</v>
          </cell>
          <cell r="J279">
            <v>0</v>
          </cell>
          <cell r="M279" t="str">
            <v>Калининский</v>
          </cell>
        </row>
        <row r="280">
          <cell r="A280">
            <v>2</v>
          </cell>
          <cell r="B280" t="str">
            <v xml:space="preserve">Битум жидкий </v>
          </cell>
          <cell r="C280" t="str">
            <v>руб</v>
          </cell>
          <cell r="E280">
            <v>1305.42</v>
          </cell>
          <cell r="F280">
            <v>0</v>
          </cell>
          <cell r="H280">
            <v>0</v>
          </cell>
          <cell r="I280" t="e">
            <v>#DIV/0!</v>
          </cell>
          <cell r="J280">
            <v>0</v>
          </cell>
          <cell r="M280" t="str">
            <v>Калининский</v>
          </cell>
        </row>
        <row r="281">
          <cell r="A281">
            <v>3</v>
          </cell>
          <cell r="B281" t="str">
            <v>Битум вязкий</v>
          </cell>
          <cell r="C281" t="str">
            <v>руб</v>
          </cell>
          <cell r="E281">
            <v>2323.59</v>
          </cell>
          <cell r="F281">
            <v>0</v>
          </cell>
          <cell r="H281">
            <v>0</v>
          </cell>
          <cell r="I281" t="e">
            <v>#DIV/0!</v>
          </cell>
          <cell r="J281">
            <v>0</v>
          </cell>
          <cell r="M281" t="str">
            <v>Калининский</v>
          </cell>
        </row>
        <row r="282">
          <cell r="A282">
            <v>4</v>
          </cell>
          <cell r="B282" t="str">
            <v>М/з а/ бетонная смесь (выравн.сл)</v>
          </cell>
          <cell r="C282" t="str">
            <v>руб</v>
          </cell>
          <cell r="E282">
            <v>28129.91</v>
          </cell>
          <cell r="F282">
            <v>0</v>
          </cell>
          <cell r="H282">
            <v>0</v>
          </cell>
          <cell r="I282" t="e">
            <v>#DIV/0!</v>
          </cell>
          <cell r="J282">
            <v>0</v>
          </cell>
          <cell r="M282" t="str">
            <v>Калининский</v>
          </cell>
        </row>
        <row r="283">
          <cell r="A283">
            <v>5</v>
          </cell>
          <cell r="B283" t="str">
            <v>черный щебень</v>
          </cell>
          <cell r="C283" t="str">
            <v>руб</v>
          </cell>
          <cell r="E283">
            <v>13514.2</v>
          </cell>
          <cell r="F283">
            <v>0</v>
          </cell>
          <cell r="H283">
            <v>0</v>
          </cell>
          <cell r="I283" t="e">
            <v>#DIV/0!</v>
          </cell>
          <cell r="J283">
            <v>0</v>
          </cell>
          <cell r="M283" t="str">
            <v>Калининский</v>
          </cell>
        </row>
        <row r="284">
          <cell r="A284">
            <v>6</v>
          </cell>
          <cell r="B284" t="str">
            <v>М/з а/ бетонная смесь (слой покрытия)</v>
          </cell>
          <cell r="C284" t="str">
            <v>руб</v>
          </cell>
          <cell r="E284">
            <v>75540.759999999995</v>
          </cell>
          <cell r="F284">
            <v>0</v>
          </cell>
          <cell r="H284">
            <v>0</v>
          </cell>
          <cell r="I284" t="e">
            <v>#DIV/0!</v>
          </cell>
          <cell r="J284">
            <v>0</v>
          </cell>
          <cell r="M284" t="str">
            <v>Калининский</v>
          </cell>
        </row>
        <row r="285">
          <cell r="A285">
            <v>7</v>
          </cell>
          <cell r="B285" t="str">
            <v>Прочие материалы</v>
          </cell>
          <cell r="C285" t="str">
            <v>руб</v>
          </cell>
          <cell r="E285">
            <v>776.13</v>
          </cell>
          <cell r="F285">
            <v>0</v>
          </cell>
          <cell r="H285">
            <v>0</v>
          </cell>
          <cell r="I285" t="e">
            <v>#DIV/0!</v>
          </cell>
          <cell r="J285">
            <v>0</v>
          </cell>
          <cell r="M285" t="str">
            <v>Калининский</v>
          </cell>
        </row>
        <row r="286">
          <cell r="A286">
            <v>8</v>
          </cell>
          <cell r="B286" t="str">
            <v>0</v>
          </cell>
          <cell r="C286" t="str">
            <v>руб</v>
          </cell>
          <cell r="E286">
            <v>0</v>
          </cell>
          <cell r="F286">
            <v>0</v>
          </cell>
          <cell r="H286">
            <v>0</v>
          </cell>
          <cell r="I286" t="e">
            <v>#DIV/0!</v>
          </cell>
          <cell r="J286">
            <v>0</v>
          </cell>
          <cell r="M286" t="str">
            <v>Калининский</v>
          </cell>
        </row>
        <row r="287">
          <cell r="A287">
            <v>9</v>
          </cell>
          <cell r="B287" t="str">
            <v>0</v>
          </cell>
          <cell r="C287" t="str">
            <v>руб</v>
          </cell>
          <cell r="E287">
            <v>0</v>
          </cell>
          <cell r="F287">
            <v>0</v>
          </cell>
          <cell r="H287">
            <v>0</v>
          </cell>
          <cell r="I287" t="e">
            <v>#DIV/0!</v>
          </cell>
          <cell r="J287">
            <v>0</v>
          </cell>
          <cell r="M287" t="str">
            <v>Калининский</v>
          </cell>
        </row>
        <row r="288">
          <cell r="A288">
            <v>10</v>
          </cell>
          <cell r="B288" t="str">
            <v>0</v>
          </cell>
          <cell r="C288" t="str">
            <v>руб</v>
          </cell>
          <cell r="E288">
            <v>0</v>
          </cell>
          <cell r="F288">
            <v>0</v>
          </cell>
          <cell r="H288">
            <v>0</v>
          </cell>
          <cell r="I288" t="e">
            <v>#DIV/0!</v>
          </cell>
          <cell r="J288">
            <v>0</v>
          </cell>
          <cell r="M288" t="str">
            <v>Калининский</v>
          </cell>
        </row>
        <row r="289">
          <cell r="M289" t="str">
            <v>Калининский</v>
          </cell>
        </row>
        <row r="290">
          <cell r="M290" t="str">
            <v>Калининский</v>
          </cell>
        </row>
        <row r="291">
          <cell r="B291" t="str">
            <v>Составил:______________________________</v>
          </cell>
          <cell r="M291" t="str">
            <v>Калининский</v>
          </cell>
        </row>
        <row r="292">
          <cell r="M292" t="str">
            <v>Калининский</v>
          </cell>
        </row>
        <row r="293">
          <cell r="B293" t="str">
            <v>Начальник ТДО: ________________________</v>
          </cell>
        </row>
        <row r="294">
          <cell r="B294" t="str">
            <v>Район: Калининский \ Тимашевск - Славянск-на-Кубани - Крымск ;  км: 26+900-27+300 (0,4 км) \ Устройство тротуаров и пешеходных дорожек</v>
          </cell>
          <cell r="K294">
            <v>101</v>
          </cell>
          <cell r="M294" t="str">
            <v>Калининский</v>
          </cell>
        </row>
        <row r="295">
          <cell r="A295" t="str">
            <v>101-1.1.</v>
          </cell>
          <cell r="B295" t="str">
            <v>Фонд заработной платы</v>
          </cell>
          <cell r="D295">
            <v>530</v>
          </cell>
          <cell r="F295">
            <v>375</v>
          </cell>
          <cell r="H295">
            <v>7515</v>
          </cell>
          <cell r="I295">
            <v>20</v>
          </cell>
          <cell r="J295">
            <v>7140</v>
          </cell>
          <cell r="K295">
            <v>101</v>
          </cell>
          <cell r="L295" t="str">
            <v>1.1.</v>
          </cell>
          <cell r="M295" t="str">
            <v>Калининский</v>
          </cell>
        </row>
        <row r="296">
          <cell r="A296" t="str">
            <v>101-1.1.1.</v>
          </cell>
          <cell r="B296" t="str">
            <v>Основные рабочие</v>
          </cell>
          <cell r="C296" t="str">
            <v>ч/ч</v>
          </cell>
          <cell r="D296">
            <v>498</v>
          </cell>
          <cell r="E296">
            <v>0.70699999999999996</v>
          </cell>
          <cell r="F296">
            <v>352</v>
          </cell>
          <cell r="G296">
            <v>14.17</v>
          </cell>
          <cell r="H296">
            <v>7057</v>
          </cell>
          <cell r="I296">
            <v>20.05</v>
          </cell>
          <cell r="J296">
            <v>6705</v>
          </cell>
          <cell r="K296">
            <v>101</v>
          </cell>
          <cell r="L296" t="str">
            <v>1.1.1.</v>
          </cell>
          <cell r="M296" t="str">
            <v>Калининский</v>
          </cell>
        </row>
        <row r="297">
          <cell r="A297" t="str">
            <v>101-1.1.2.</v>
          </cell>
          <cell r="B297" t="str">
            <v>Машинисты</v>
          </cell>
          <cell r="C297" t="str">
            <v>ч/ч</v>
          </cell>
          <cell r="D297">
            <v>32</v>
          </cell>
          <cell r="E297">
            <v>0.71899999999999997</v>
          </cell>
          <cell r="F297">
            <v>23</v>
          </cell>
          <cell r="G297">
            <v>14.31</v>
          </cell>
          <cell r="H297">
            <v>458</v>
          </cell>
          <cell r="I297">
            <v>19.91</v>
          </cell>
          <cell r="J297">
            <v>435</v>
          </cell>
          <cell r="K297">
            <v>101</v>
          </cell>
          <cell r="L297" t="str">
            <v>1.1.2.</v>
          </cell>
          <cell r="M297" t="str">
            <v>Калининский</v>
          </cell>
        </row>
        <row r="298">
          <cell r="M298" t="str">
            <v>Калининский</v>
          </cell>
        </row>
        <row r="299">
          <cell r="A299" t="str">
            <v>101-1.2.</v>
          </cell>
          <cell r="B299" t="str">
            <v>Технические ресурсы по нормам СНиП (без зарботной платы машиниста)</v>
          </cell>
          <cell r="F299">
            <v>52</v>
          </cell>
          <cell r="H299">
            <v>2082</v>
          </cell>
          <cell r="I299">
            <v>39.71</v>
          </cell>
          <cell r="J299">
            <v>2029</v>
          </cell>
          <cell r="K299">
            <v>101</v>
          </cell>
          <cell r="L299" t="str">
            <v>1.2.</v>
          </cell>
          <cell r="M299" t="str">
            <v>Калининский</v>
          </cell>
        </row>
        <row r="300">
          <cell r="A300">
            <v>1</v>
          </cell>
          <cell r="B300" t="str">
            <v>Автогрейдер средний</v>
          </cell>
          <cell r="C300" t="str">
            <v>м/ч</v>
          </cell>
          <cell r="D300">
            <v>0</v>
          </cell>
          <cell r="E300">
            <v>2.48</v>
          </cell>
          <cell r="F300">
            <v>1</v>
          </cell>
          <cell r="G300">
            <v>125.03</v>
          </cell>
          <cell r="H300">
            <v>31</v>
          </cell>
          <cell r="I300">
            <v>50.42</v>
          </cell>
          <cell r="J300">
            <v>31</v>
          </cell>
          <cell r="M300" t="str">
            <v>Калининский</v>
          </cell>
        </row>
        <row r="301">
          <cell r="A301">
            <v>2</v>
          </cell>
          <cell r="B301" t="str">
            <v>Бульдозер</v>
          </cell>
          <cell r="C301" t="str">
            <v>м/ч</v>
          </cell>
          <cell r="D301">
            <v>0</v>
          </cell>
          <cell r="E301">
            <v>2.2999999999999998</v>
          </cell>
          <cell r="F301">
            <v>0</v>
          </cell>
          <cell r="G301">
            <v>113.86</v>
          </cell>
          <cell r="H301">
            <v>8</v>
          </cell>
          <cell r="I301">
            <v>49.5</v>
          </cell>
          <cell r="J301">
            <v>8</v>
          </cell>
          <cell r="M301" t="str">
            <v>Калининский</v>
          </cell>
        </row>
        <row r="302">
          <cell r="A302">
            <v>3</v>
          </cell>
          <cell r="B302" t="str">
            <v>Машина поливомоечная</v>
          </cell>
          <cell r="C302" t="str">
            <v>м/ч</v>
          </cell>
          <cell r="D302">
            <v>2</v>
          </cell>
          <cell r="E302">
            <v>6.16</v>
          </cell>
          <cell r="F302">
            <v>12</v>
          </cell>
          <cell r="G302">
            <v>197.6</v>
          </cell>
          <cell r="H302">
            <v>391</v>
          </cell>
          <cell r="I302">
            <v>32.08</v>
          </cell>
          <cell r="J302">
            <v>379</v>
          </cell>
          <cell r="M302" t="str">
            <v>Калининский</v>
          </cell>
        </row>
        <row r="303">
          <cell r="A303">
            <v>4</v>
          </cell>
          <cell r="B303" t="str">
            <v xml:space="preserve">Каток  самоходный гладкий 5 тн </v>
          </cell>
          <cell r="C303" t="str">
            <v>м/ч</v>
          </cell>
          <cell r="D303">
            <v>5</v>
          </cell>
          <cell r="E303">
            <v>1.81</v>
          </cell>
          <cell r="F303">
            <v>10</v>
          </cell>
          <cell r="G303">
            <v>80.16</v>
          </cell>
          <cell r="H303">
            <v>422</v>
          </cell>
          <cell r="I303">
            <v>44.29</v>
          </cell>
          <cell r="J303">
            <v>412</v>
          </cell>
          <cell r="M303" t="str">
            <v>Калининский</v>
          </cell>
        </row>
        <row r="304">
          <cell r="A304">
            <v>5</v>
          </cell>
          <cell r="B304" t="str">
            <v xml:space="preserve">Экскаватор </v>
          </cell>
          <cell r="C304" t="str">
            <v>м/ч</v>
          </cell>
          <cell r="D304">
            <v>0</v>
          </cell>
          <cell r="E304">
            <v>2.72</v>
          </cell>
          <cell r="F304">
            <v>0</v>
          </cell>
          <cell r="G304">
            <v>103.25</v>
          </cell>
          <cell r="H304">
            <v>9</v>
          </cell>
          <cell r="I304">
            <v>37.96</v>
          </cell>
          <cell r="J304">
            <v>9</v>
          </cell>
          <cell r="M304" t="str">
            <v>Калининский</v>
          </cell>
        </row>
        <row r="305">
          <cell r="A305">
            <v>6</v>
          </cell>
          <cell r="B305" t="str">
            <v>Машина бурильно-крановая</v>
          </cell>
          <cell r="C305" t="str">
            <v>м/ч</v>
          </cell>
          <cell r="D305">
            <v>3</v>
          </cell>
          <cell r="E305">
            <v>2.41</v>
          </cell>
          <cell r="F305">
            <v>6</v>
          </cell>
          <cell r="G305">
            <v>129.44999999999999</v>
          </cell>
          <cell r="H305">
            <v>344</v>
          </cell>
          <cell r="I305">
            <v>53.71</v>
          </cell>
          <cell r="J305">
            <v>338</v>
          </cell>
          <cell r="M305" t="str">
            <v>Калининский</v>
          </cell>
        </row>
        <row r="306">
          <cell r="A306">
            <v>7</v>
          </cell>
          <cell r="B306" t="str">
            <v>Автокран 3т</v>
          </cell>
          <cell r="C306" t="str">
            <v>м/ч</v>
          </cell>
          <cell r="D306">
            <v>6</v>
          </cell>
          <cell r="E306">
            <v>4.01</v>
          </cell>
          <cell r="F306">
            <v>23</v>
          </cell>
          <cell r="G306">
            <v>152.22</v>
          </cell>
          <cell r="H306">
            <v>868</v>
          </cell>
          <cell r="I306">
            <v>37.96</v>
          </cell>
          <cell r="J306">
            <v>845</v>
          </cell>
          <cell r="M306" t="str">
            <v>Калининский</v>
          </cell>
        </row>
        <row r="307">
          <cell r="A307">
            <v>8</v>
          </cell>
          <cell r="B307" t="str">
            <v>Прочие машины</v>
          </cell>
          <cell r="C307" t="str">
            <v>руб</v>
          </cell>
          <cell r="D307">
            <v>0</v>
          </cell>
          <cell r="E307">
            <v>1</v>
          </cell>
          <cell r="F307">
            <v>0</v>
          </cell>
          <cell r="G307">
            <v>20</v>
          </cell>
          <cell r="H307">
            <v>8</v>
          </cell>
          <cell r="I307">
            <v>20</v>
          </cell>
          <cell r="J307">
            <v>8</v>
          </cell>
          <cell r="M307" t="str">
            <v>Калининский</v>
          </cell>
        </row>
        <row r="308">
          <cell r="A308">
            <v>9</v>
          </cell>
          <cell r="F308">
            <v>0</v>
          </cell>
          <cell r="H308">
            <v>0</v>
          </cell>
          <cell r="I308" t="e">
            <v>#DIV/0!</v>
          </cell>
          <cell r="J308">
            <v>0</v>
          </cell>
          <cell r="M308" t="str">
            <v>Калининский</v>
          </cell>
        </row>
        <row r="309">
          <cell r="A309">
            <v>10</v>
          </cell>
          <cell r="F309">
            <v>0</v>
          </cell>
          <cell r="H309">
            <v>0</v>
          </cell>
          <cell r="I309" t="e">
            <v>#DIV/0!</v>
          </cell>
          <cell r="J309">
            <v>0</v>
          </cell>
          <cell r="M309" t="str">
            <v>Калининский</v>
          </cell>
        </row>
        <row r="310">
          <cell r="M310" t="str">
            <v>Калининский</v>
          </cell>
        </row>
        <row r="311">
          <cell r="A311" t="str">
            <v>101-1.3.</v>
          </cell>
          <cell r="B311" t="str">
            <v>Материалы</v>
          </cell>
          <cell r="F311">
            <v>2437</v>
          </cell>
          <cell r="H311">
            <v>79047</v>
          </cell>
          <cell r="I311">
            <v>32.43</v>
          </cell>
          <cell r="J311">
            <v>76610</v>
          </cell>
          <cell r="K311">
            <v>101</v>
          </cell>
          <cell r="L311" t="str">
            <v>1.3.</v>
          </cell>
          <cell r="M311" t="str">
            <v>Калининский</v>
          </cell>
        </row>
        <row r="312">
          <cell r="B312" t="str">
            <v>Материальные ресурсы по нормам СНиП</v>
          </cell>
          <cell r="F312">
            <v>1654</v>
          </cell>
          <cell r="H312">
            <v>60802</v>
          </cell>
          <cell r="I312">
            <v>36.75</v>
          </cell>
          <cell r="J312">
            <v>59147</v>
          </cell>
          <cell r="M312" t="str">
            <v>Калининский</v>
          </cell>
        </row>
        <row r="313">
          <cell r="A313">
            <v>1</v>
          </cell>
          <cell r="B313" t="str">
            <v>ПГС</v>
          </cell>
          <cell r="C313" t="str">
            <v>м3</v>
          </cell>
          <cell r="D313">
            <v>54</v>
          </cell>
          <cell r="E313">
            <v>1.9</v>
          </cell>
          <cell r="F313">
            <v>103</v>
          </cell>
          <cell r="G313">
            <v>40.57</v>
          </cell>
          <cell r="H313">
            <v>2191</v>
          </cell>
          <cell r="I313">
            <v>21.35</v>
          </cell>
          <cell r="J313">
            <v>2088</v>
          </cell>
          <cell r="M313" t="str">
            <v>Калининский</v>
          </cell>
        </row>
        <row r="314">
          <cell r="A314">
            <v>2</v>
          </cell>
          <cell r="B314" t="str">
            <v>М/з а/б смесь</v>
          </cell>
          <cell r="C314" t="str">
            <v>т</v>
          </cell>
          <cell r="D314">
            <v>25.7</v>
          </cell>
          <cell r="E314">
            <v>13.8</v>
          </cell>
          <cell r="F314">
            <v>355</v>
          </cell>
          <cell r="G314">
            <v>569.5</v>
          </cell>
          <cell r="H314">
            <v>14636</v>
          </cell>
          <cell r="I314">
            <v>41.27</v>
          </cell>
          <cell r="J314">
            <v>14281</v>
          </cell>
          <cell r="M314" t="str">
            <v>Калининский</v>
          </cell>
        </row>
        <row r="315">
          <cell r="A315">
            <v>3</v>
          </cell>
          <cell r="B315" t="str">
            <v>Бортовой камень Бр 100.30.18</v>
          </cell>
          <cell r="C315" t="str">
            <v>м3</v>
          </cell>
          <cell r="D315">
            <v>5.4</v>
          </cell>
          <cell r="E315">
            <v>43.6</v>
          </cell>
          <cell r="F315">
            <v>235</v>
          </cell>
          <cell r="G315">
            <v>1333.33</v>
          </cell>
          <cell r="H315">
            <v>7200</v>
          </cell>
          <cell r="I315">
            <v>30.58</v>
          </cell>
          <cell r="J315">
            <v>6965</v>
          </cell>
          <cell r="M315" t="str">
            <v>Калининский</v>
          </cell>
        </row>
        <row r="316">
          <cell r="A316">
            <v>4</v>
          </cell>
          <cell r="B316" t="str">
            <v>Бортовой камень Бр 100.20.8</v>
          </cell>
          <cell r="C316" t="str">
            <v>м3</v>
          </cell>
          <cell r="D316">
            <v>1.6</v>
          </cell>
          <cell r="E316">
            <v>49.4</v>
          </cell>
          <cell r="F316">
            <v>79</v>
          </cell>
          <cell r="G316">
            <v>1333.33</v>
          </cell>
          <cell r="H316">
            <v>2133</v>
          </cell>
          <cell r="I316">
            <v>26.99</v>
          </cell>
          <cell r="J316">
            <v>2054</v>
          </cell>
          <cell r="M316" t="str">
            <v>Калининский</v>
          </cell>
        </row>
        <row r="317">
          <cell r="A317">
            <v>5</v>
          </cell>
          <cell r="B317" t="str">
            <v>Барьерное ограждение</v>
          </cell>
          <cell r="C317" t="str">
            <v>т</v>
          </cell>
          <cell r="D317">
            <v>1.8</v>
          </cell>
          <cell r="E317">
            <v>432.5</v>
          </cell>
          <cell r="F317">
            <v>779</v>
          </cell>
          <cell r="G317">
            <v>17955</v>
          </cell>
          <cell r="H317">
            <v>32319</v>
          </cell>
          <cell r="I317">
            <v>41.51</v>
          </cell>
          <cell r="J317">
            <v>31541</v>
          </cell>
          <cell r="M317" t="str">
            <v>Калининский</v>
          </cell>
        </row>
        <row r="318">
          <cell r="A318">
            <v>6</v>
          </cell>
          <cell r="B318" t="str">
            <v>Бетон М 100</v>
          </cell>
          <cell r="C318" t="str">
            <v>м3</v>
          </cell>
          <cell r="D318">
            <v>3</v>
          </cell>
          <cell r="E318">
            <v>16.53</v>
          </cell>
          <cell r="F318">
            <v>50</v>
          </cell>
          <cell r="G318">
            <v>525</v>
          </cell>
          <cell r="H318">
            <v>1575</v>
          </cell>
          <cell r="I318">
            <v>31.76</v>
          </cell>
          <cell r="J318">
            <v>1525</v>
          </cell>
          <cell r="M318" t="str">
            <v>Калининский</v>
          </cell>
        </row>
        <row r="319">
          <cell r="A319">
            <v>7</v>
          </cell>
          <cell r="B319" t="str">
            <v>Краска масляная</v>
          </cell>
          <cell r="C319" t="str">
            <v>кг</v>
          </cell>
          <cell r="D319">
            <v>18</v>
          </cell>
          <cell r="E319">
            <v>1.8</v>
          </cell>
          <cell r="F319">
            <v>32</v>
          </cell>
          <cell r="G319">
            <v>29.17</v>
          </cell>
          <cell r="H319">
            <v>525</v>
          </cell>
          <cell r="I319">
            <v>16.21</v>
          </cell>
          <cell r="J319">
            <v>493</v>
          </cell>
          <cell r="M319" t="str">
            <v>Калининский</v>
          </cell>
        </row>
        <row r="320">
          <cell r="A320">
            <v>8</v>
          </cell>
          <cell r="B320" t="str">
            <v>Прочие материалы</v>
          </cell>
          <cell r="C320" t="str">
            <v>руб</v>
          </cell>
          <cell r="D320">
            <v>22.22</v>
          </cell>
          <cell r="E320">
            <v>1</v>
          </cell>
          <cell r="F320">
            <v>22</v>
          </cell>
          <cell r="G320">
            <v>10</v>
          </cell>
          <cell r="H320">
            <v>222</v>
          </cell>
          <cell r="I320">
            <v>10</v>
          </cell>
          <cell r="J320">
            <v>200</v>
          </cell>
          <cell r="M320" t="str">
            <v>Калининский</v>
          </cell>
        </row>
        <row r="321">
          <cell r="A321">
            <v>9</v>
          </cell>
          <cell r="F321">
            <v>0</v>
          </cell>
          <cell r="H321">
            <v>0</v>
          </cell>
          <cell r="I321" t="e">
            <v>#DIV/0!</v>
          </cell>
          <cell r="J321">
            <v>0</v>
          </cell>
          <cell r="M321" t="str">
            <v>Калининский</v>
          </cell>
        </row>
        <row r="322">
          <cell r="A322">
            <v>10</v>
          </cell>
          <cell r="F322">
            <v>0</v>
          </cell>
          <cell r="H322">
            <v>0</v>
          </cell>
          <cell r="I322" t="e">
            <v>#DIV/0!</v>
          </cell>
          <cell r="J322">
            <v>0</v>
          </cell>
          <cell r="M322" t="str">
            <v>Калининский</v>
          </cell>
        </row>
        <row r="323">
          <cell r="M323" t="str">
            <v>Калининский</v>
          </cell>
        </row>
        <row r="324">
          <cell r="B324" t="str">
            <v>Транспортировка материалов, т (вид транспорта, км)</v>
          </cell>
          <cell r="F324">
            <v>783</v>
          </cell>
          <cell r="H324">
            <v>18245</v>
          </cell>
          <cell r="I324">
            <v>23.31</v>
          </cell>
          <cell r="J324">
            <v>17463</v>
          </cell>
          <cell r="M324" t="str">
            <v>Калининский</v>
          </cell>
        </row>
        <row r="325">
          <cell r="A325">
            <v>1</v>
          </cell>
          <cell r="B325" t="str">
            <v>ПГС  139 км</v>
          </cell>
          <cell r="C325" t="str">
            <v>т</v>
          </cell>
          <cell r="D325">
            <v>97.2</v>
          </cell>
          <cell r="E325">
            <v>6.27</v>
          </cell>
          <cell r="F325">
            <v>609</v>
          </cell>
          <cell r="G325">
            <v>136.4</v>
          </cell>
          <cell r="H325">
            <v>13258</v>
          </cell>
          <cell r="I325">
            <v>21.75</v>
          </cell>
          <cell r="J325">
            <v>12649</v>
          </cell>
          <cell r="M325" t="str">
            <v>Калининский</v>
          </cell>
        </row>
        <row r="326">
          <cell r="A326">
            <v>2</v>
          </cell>
          <cell r="B326" t="str">
            <v>М/з а/б смесь 2 км</v>
          </cell>
          <cell r="C326" t="str">
            <v>т</v>
          </cell>
          <cell r="D326">
            <v>25.7</v>
          </cell>
          <cell r="E326">
            <v>0.36</v>
          </cell>
          <cell r="F326">
            <v>9</v>
          </cell>
          <cell r="G326">
            <v>1.06</v>
          </cell>
          <cell r="H326">
            <v>27</v>
          </cell>
          <cell r="I326">
            <v>2.94</v>
          </cell>
          <cell r="J326">
            <v>18</v>
          </cell>
          <cell r="M326" t="str">
            <v>Калининский</v>
          </cell>
        </row>
        <row r="327">
          <cell r="A327">
            <v>3</v>
          </cell>
          <cell r="B327" t="str">
            <v>Бортовой камень Бр 100.30.18  222 км</v>
          </cell>
          <cell r="C327" t="str">
            <v>т</v>
          </cell>
          <cell r="D327">
            <v>13.5</v>
          </cell>
          <cell r="E327">
            <v>8.7200000000000006</v>
          </cell>
          <cell r="F327">
            <v>118</v>
          </cell>
          <cell r="G327">
            <v>271.64999999999998</v>
          </cell>
          <cell r="H327">
            <v>3667</v>
          </cell>
          <cell r="I327">
            <v>31.15</v>
          </cell>
          <cell r="J327">
            <v>3550</v>
          </cell>
          <cell r="M327" t="str">
            <v>Калининский</v>
          </cell>
        </row>
        <row r="328">
          <cell r="A328">
            <v>4</v>
          </cell>
          <cell r="B328" t="str">
            <v>Бортовой камень Бр 100.20.8  222 км</v>
          </cell>
          <cell r="C328" t="str">
            <v>т</v>
          </cell>
          <cell r="D328">
            <v>4.12</v>
          </cell>
          <cell r="E328">
            <v>8.7200000000000006</v>
          </cell>
          <cell r="F328">
            <v>36</v>
          </cell>
          <cell r="G328">
            <v>271.64999999999998</v>
          </cell>
          <cell r="H328">
            <v>1118</v>
          </cell>
          <cell r="I328">
            <v>31.15</v>
          </cell>
          <cell r="J328">
            <v>1082</v>
          </cell>
          <cell r="M328" t="str">
            <v>Калининский</v>
          </cell>
        </row>
        <row r="329">
          <cell r="A329">
            <v>5</v>
          </cell>
          <cell r="B329" t="str">
            <v>Барьерное ограждение 82 км</v>
          </cell>
          <cell r="C329" t="str">
            <v>т</v>
          </cell>
          <cell r="D329">
            <v>1.8</v>
          </cell>
          <cell r="E329">
            <v>4.74</v>
          </cell>
          <cell r="F329">
            <v>9</v>
          </cell>
          <cell r="G329">
            <v>97.2</v>
          </cell>
          <cell r="H329">
            <v>175</v>
          </cell>
          <cell r="I329">
            <v>20.51</v>
          </cell>
          <cell r="J329">
            <v>166</v>
          </cell>
          <cell r="M329" t="str">
            <v>Калининский</v>
          </cell>
        </row>
        <row r="330">
          <cell r="A330">
            <v>6</v>
          </cell>
          <cell r="B330" t="str">
            <v>Бетон М 100    2 км</v>
          </cell>
          <cell r="C330" t="str">
            <v>м3</v>
          </cell>
          <cell r="D330">
            <v>3</v>
          </cell>
          <cell r="E330">
            <v>0.65</v>
          </cell>
          <cell r="F330">
            <v>2</v>
          </cell>
          <cell r="H330">
            <v>0</v>
          </cell>
          <cell r="I330">
            <v>0</v>
          </cell>
          <cell r="J330">
            <v>-2</v>
          </cell>
          <cell r="M330" t="str">
            <v>Калининский</v>
          </cell>
        </row>
        <row r="331">
          <cell r="A331">
            <v>7</v>
          </cell>
          <cell r="B331" t="str">
            <v>Краска масляная</v>
          </cell>
          <cell r="C331" t="str">
            <v>кг</v>
          </cell>
          <cell r="D331">
            <v>18</v>
          </cell>
          <cell r="F331">
            <v>0</v>
          </cell>
          <cell r="H331">
            <v>0</v>
          </cell>
          <cell r="I331" t="e">
            <v>#DIV/0!</v>
          </cell>
          <cell r="J331">
            <v>0</v>
          </cell>
          <cell r="M331" t="str">
            <v>Калининский</v>
          </cell>
        </row>
        <row r="332">
          <cell r="A332">
            <v>8</v>
          </cell>
          <cell r="C332" t="str">
            <v>т</v>
          </cell>
          <cell r="F332">
            <v>0</v>
          </cell>
          <cell r="H332">
            <v>0</v>
          </cell>
          <cell r="I332" t="e">
            <v>#DIV/0!</v>
          </cell>
          <cell r="J332">
            <v>0</v>
          </cell>
          <cell r="M332" t="str">
            <v>Калининский</v>
          </cell>
        </row>
        <row r="333">
          <cell r="A333">
            <v>9</v>
          </cell>
          <cell r="C333" t="str">
            <v>т</v>
          </cell>
          <cell r="F333">
            <v>0</v>
          </cell>
          <cell r="H333">
            <v>0</v>
          </cell>
          <cell r="I333" t="e">
            <v>#DIV/0!</v>
          </cell>
          <cell r="J333">
            <v>0</v>
          </cell>
          <cell r="M333" t="str">
            <v>Калининский</v>
          </cell>
        </row>
        <row r="334">
          <cell r="A334">
            <v>10</v>
          </cell>
          <cell r="C334" t="str">
            <v>т</v>
          </cell>
          <cell r="F334">
            <v>0</v>
          </cell>
          <cell r="H334">
            <v>0</v>
          </cell>
          <cell r="I334" t="e">
            <v>#DIV/0!</v>
          </cell>
          <cell r="J334">
            <v>0</v>
          </cell>
          <cell r="M334" t="str">
            <v>Калининский</v>
          </cell>
        </row>
        <row r="335">
          <cell r="M335" t="str">
            <v>Калининский</v>
          </cell>
        </row>
        <row r="336">
          <cell r="B336" t="str">
            <v>Заготовительно-складские расходы</v>
          </cell>
          <cell r="F336">
            <v>0</v>
          </cell>
          <cell r="H336">
            <v>0</v>
          </cell>
          <cell r="I336" t="e">
            <v>#DIV/0!</v>
          </cell>
          <cell r="J336">
            <v>0</v>
          </cell>
          <cell r="M336" t="str">
            <v>Калининский</v>
          </cell>
        </row>
        <row r="337">
          <cell r="A337">
            <v>1</v>
          </cell>
          <cell r="B337" t="str">
            <v>ПГС</v>
          </cell>
          <cell r="C337" t="str">
            <v>руб</v>
          </cell>
          <cell r="E337">
            <v>712.04</v>
          </cell>
          <cell r="F337">
            <v>0</v>
          </cell>
          <cell r="H337">
            <v>0</v>
          </cell>
          <cell r="I337" t="e">
            <v>#DIV/0!</v>
          </cell>
          <cell r="J337">
            <v>0</v>
          </cell>
          <cell r="M337" t="str">
            <v>Калининский</v>
          </cell>
        </row>
        <row r="338">
          <cell r="A338">
            <v>2</v>
          </cell>
          <cell r="B338" t="str">
            <v>М/з а/б смесь</v>
          </cell>
          <cell r="C338" t="str">
            <v>руб</v>
          </cell>
          <cell r="E338">
            <v>363.91</v>
          </cell>
          <cell r="F338">
            <v>0</v>
          </cell>
          <cell r="H338">
            <v>0</v>
          </cell>
          <cell r="I338" t="e">
            <v>#DIV/0!</v>
          </cell>
          <cell r="J338">
            <v>0</v>
          </cell>
          <cell r="M338" t="str">
            <v>Калининский</v>
          </cell>
        </row>
        <row r="339">
          <cell r="A339">
            <v>3</v>
          </cell>
          <cell r="B339" t="str">
            <v>Бортовой камень Бр 100.30.18</v>
          </cell>
          <cell r="C339" t="str">
            <v>руб</v>
          </cell>
          <cell r="E339">
            <v>353.19</v>
          </cell>
          <cell r="F339">
            <v>0</v>
          </cell>
          <cell r="H339">
            <v>0</v>
          </cell>
          <cell r="I339" t="e">
            <v>#DIV/0!</v>
          </cell>
          <cell r="J339">
            <v>0</v>
          </cell>
          <cell r="M339" t="str">
            <v>Калининский</v>
          </cell>
        </row>
        <row r="340">
          <cell r="A340">
            <v>4</v>
          </cell>
          <cell r="B340" t="str">
            <v>Бортовой камень Бр 100.20.8</v>
          </cell>
          <cell r="C340" t="str">
            <v>руб</v>
          </cell>
          <cell r="E340">
            <v>114.93</v>
          </cell>
          <cell r="F340">
            <v>0</v>
          </cell>
          <cell r="H340">
            <v>0</v>
          </cell>
          <cell r="I340" t="e">
            <v>#DIV/0!</v>
          </cell>
          <cell r="J340">
            <v>0</v>
          </cell>
          <cell r="M340" t="str">
            <v>Калининский</v>
          </cell>
        </row>
        <row r="341">
          <cell r="A341">
            <v>5</v>
          </cell>
          <cell r="B341" t="str">
            <v>Барьерное ограждение</v>
          </cell>
          <cell r="C341" t="str">
            <v>руб</v>
          </cell>
          <cell r="E341">
            <v>787.03</v>
          </cell>
          <cell r="F341">
            <v>0</v>
          </cell>
          <cell r="H341">
            <v>0</v>
          </cell>
          <cell r="I341" t="e">
            <v>#DIV/0!</v>
          </cell>
          <cell r="J341">
            <v>0</v>
          </cell>
          <cell r="M341" t="str">
            <v>Калининский</v>
          </cell>
        </row>
        <row r="342">
          <cell r="A342">
            <v>6</v>
          </cell>
          <cell r="B342" t="str">
            <v>Бетон М 100</v>
          </cell>
          <cell r="C342" t="str">
            <v>руб</v>
          </cell>
          <cell r="E342">
            <v>51.54</v>
          </cell>
          <cell r="F342">
            <v>0</v>
          </cell>
          <cell r="H342">
            <v>0</v>
          </cell>
          <cell r="I342" t="e">
            <v>#DIV/0!</v>
          </cell>
          <cell r="J342">
            <v>0</v>
          </cell>
          <cell r="M342" t="str">
            <v>Калининский</v>
          </cell>
        </row>
        <row r="343">
          <cell r="A343">
            <v>7</v>
          </cell>
          <cell r="B343" t="str">
            <v>Краска масляная</v>
          </cell>
          <cell r="C343" t="str">
            <v>руб</v>
          </cell>
          <cell r="E343">
            <v>32.4</v>
          </cell>
          <cell r="F343">
            <v>0</v>
          </cell>
          <cell r="H343">
            <v>0</v>
          </cell>
          <cell r="I343" t="e">
            <v>#DIV/0!</v>
          </cell>
          <cell r="J343">
            <v>0</v>
          </cell>
          <cell r="M343" t="str">
            <v>Калининский</v>
          </cell>
        </row>
        <row r="344">
          <cell r="A344">
            <v>8</v>
          </cell>
          <cell r="B344" t="str">
            <v>Прочие материалы</v>
          </cell>
          <cell r="C344" t="str">
            <v>руб</v>
          </cell>
          <cell r="E344">
            <v>22.22</v>
          </cell>
          <cell r="F344">
            <v>0</v>
          </cell>
          <cell r="H344">
            <v>0</v>
          </cell>
          <cell r="I344" t="e">
            <v>#DIV/0!</v>
          </cell>
          <cell r="J344">
            <v>0</v>
          </cell>
          <cell r="M344" t="str">
            <v>Калининский</v>
          </cell>
        </row>
        <row r="345">
          <cell r="A345">
            <v>9</v>
          </cell>
          <cell r="B345" t="str">
            <v>0</v>
          </cell>
          <cell r="C345" t="str">
            <v>руб</v>
          </cell>
          <cell r="E345">
            <v>0</v>
          </cell>
          <cell r="F345">
            <v>0</v>
          </cell>
          <cell r="H345">
            <v>0</v>
          </cell>
          <cell r="I345" t="e">
            <v>#DIV/0!</v>
          </cell>
          <cell r="J345">
            <v>0</v>
          </cell>
          <cell r="M345" t="str">
            <v>Калининский</v>
          </cell>
        </row>
        <row r="346">
          <cell r="A346">
            <v>10</v>
          </cell>
          <cell r="B346" t="str">
            <v>0</v>
          </cell>
          <cell r="C346" t="str">
            <v>руб</v>
          </cell>
          <cell r="E346">
            <v>0</v>
          </cell>
          <cell r="F346">
            <v>0</v>
          </cell>
          <cell r="H346">
            <v>0</v>
          </cell>
          <cell r="I346" t="e">
            <v>#DIV/0!</v>
          </cell>
          <cell r="J346">
            <v>0</v>
          </cell>
          <cell r="M346" t="str">
            <v>Калининский</v>
          </cell>
        </row>
        <row r="347">
          <cell r="M347" t="str">
            <v>Калининский</v>
          </cell>
        </row>
        <row r="348">
          <cell r="M348" t="str">
            <v>Калининский</v>
          </cell>
        </row>
        <row r="349">
          <cell r="B349" t="str">
            <v>Составил:______________________________</v>
          </cell>
          <cell r="M349" t="str">
            <v>Калининский</v>
          </cell>
        </row>
        <row r="350">
          <cell r="M350" t="str">
            <v>Калининский</v>
          </cell>
        </row>
        <row r="351">
          <cell r="B351" t="str">
            <v>Начальник ТДО: ________________________</v>
          </cell>
        </row>
        <row r="352">
          <cell r="B352" t="str">
            <v>Район: Калининский \ Обход ст.Калининская ;  км: 2+500-4+500 (2 км) \ Устройство тротуаров и пешеходных дорожек</v>
          </cell>
          <cell r="K352">
            <v>102</v>
          </cell>
          <cell r="M352" t="str">
            <v>Калининский</v>
          </cell>
        </row>
        <row r="353">
          <cell r="A353" t="str">
            <v>102-1.1.</v>
          </cell>
          <cell r="B353" t="str">
            <v>Фонд заработной платы</v>
          </cell>
          <cell r="D353">
            <v>531</v>
          </cell>
          <cell r="F353">
            <v>376</v>
          </cell>
          <cell r="H353">
            <v>7551</v>
          </cell>
          <cell r="I353">
            <v>20</v>
          </cell>
          <cell r="J353">
            <v>7175</v>
          </cell>
          <cell r="K353">
            <v>102</v>
          </cell>
          <cell r="L353" t="str">
            <v>1.1.</v>
          </cell>
          <cell r="M353" t="str">
            <v>Калининский</v>
          </cell>
        </row>
        <row r="354">
          <cell r="A354" t="str">
            <v>102-1.1.1.</v>
          </cell>
          <cell r="B354" t="str">
            <v>Основные рабочие</v>
          </cell>
          <cell r="C354" t="str">
            <v>ч/ч</v>
          </cell>
          <cell r="D354">
            <v>337</v>
          </cell>
          <cell r="E354">
            <v>0.70599999999999996</v>
          </cell>
          <cell r="F354">
            <v>238</v>
          </cell>
          <cell r="G354">
            <v>14.17</v>
          </cell>
          <cell r="H354">
            <v>4775</v>
          </cell>
          <cell r="I354">
            <v>20.059999999999999</v>
          </cell>
          <cell r="J354">
            <v>4537</v>
          </cell>
          <cell r="K354">
            <v>102</v>
          </cell>
          <cell r="L354" t="str">
            <v>1.1.1.</v>
          </cell>
          <cell r="M354" t="str">
            <v>Калининский</v>
          </cell>
        </row>
        <row r="355">
          <cell r="A355" t="str">
            <v>102-1.1.2.</v>
          </cell>
          <cell r="B355" t="str">
            <v>Машинисты</v>
          </cell>
          <cell r="C355" t="str">
            <v>ч/ч</v>
          </cell>
          <cell r="D355">
            <v>194</v>
          </cell>
          <cell r="E355">
            <v>0.71099999999999997</v>
          </cell>
          <cell r="F355">
            <v>138</v>
          </cell>
          <cell r="G355">
            <v>14.31</v>
          </cell>
          <cell r="H355">
            <v>2776</v>
          </cell>
          <cell r="I355">
            <v>20.12</v>
          </cell>
          <cell r="J355">
            <v>2638</v>
          </cell>
          <cell r="K355">
            <v>102</v>
          </cell>
          <cell r="L355" t="str">
            <v>1.1.2.</v>
          </cell>
          <cell r="M355" t="str">
            <v>Калининский</v>
          </cell>
        </row>
        <row r="356">
          <cell r="M356" t="str">
            <v>Калининский</v>
          </cell>
        </row>
        <row r="357">
          <cell r="A357" t="str">
            <v>102-1.2.</v>
          </cell>
          <cell r="B357" t="str">
            <v>Технические ресурсы по нормам СНиП (без зарботной платы машиниста)</v>
          </cell>
          <cell r="F357">
            <v>208</v>
          </cell>
          <cell r="H357">
            <v>7668</v>
          </cell>
          <cell r="I357">
            <v>36.82</v>
          </cell>
          <cell r="J357">
            <v>7460</v>
          </cell>
          <cell r="K357">
            <v>102</v>
          </cell>
          <cell r="L357" t="str">
            <v>1.2.</v>
          </cell>
          <cell r="M357" t="str">
            <v>Калининский</v>
          </cell>
        </row>
        <row r="358">
          <cell r="A358">
            <v>1</v>
          </cell>
          <cell r="B358" t="str">
            <v>Автогрейдер средний</v>
          </cell>
          <cell r="C358" t="str">
            <v>м/ч</v>
          </cell>
          <cell r="D358">
            <v>4</v>
          </cell>
          <cell r="E358">
            <v>2.48</v>
          </cell>
          <cell r="F358">
            <v>9</v>
          </cell>
          <cell r="G358">
            <v>125.03</v>
          </cell>
          <cell r="H358">
            <v>449</v>
          </cell>
          <cell r="I358">
            <v>50.42</v>
          </cell>
          <cell r="J358">
            <v>440</v>
          </cell>
          <cell r="M358" t="str">
            <v>Калининский</v>
          </cell>
        </row>
        <row r="359">
          <cell r="A359">
            <v>2</v>
          </cell>
          <cell r="B359" t="str">
            <v>Бульдозер</v>
          </cell>
          <cell r="C359" t="str">
            <v>м/ч</v>
          </cell>
          <cell r="D359">
            <v>2</v>
          </cell>
          <cell r="E359">
            <v>2.2999999999999998</v>
          </cell>
          <cell r="F359">
            <v>5</v>
          </cell>
          <cell r="G359">
            <v>113.86</v>
          </cell>
          <cell r="H359">
            <v>228</v>
          </cell>
          <cell r="I359">
            <v>49.5</v>
          </cell>
          <cell r="J359">
            <v>223</v>
          </cell>
          <cell r="M359" t="str">
            <v>Калининский</v>
          </cell>
        </row>
        <row r="360">
          <cell r="A360">
            <v>3</v>
          </cell>
          <cell r="B360" t="str">
            <v>Машина поливомоечная</v>
          </cell>
          <cell r="C360" t="str">
            <v>м/ч</v>
          </cell>
          <cell r="D360">
            <v>14</v>
          </cell>
          <cell r="E360">
            <v>6.16</v>
          </cell>
          <cell r="F360">
            <v>85</v>
          </cell>
          <cell r="G360">
            <v>197.6</v>
          </cell>
          <cell r="H360">
            <v>2711</v>
          </cell>
          <cell r="I360">
            <v>32.08</v>
          </cell>
          <cell r="J360">
            <v>2627</v>
          </cell>
          <cell r="M360" t="str">
            <v>Калининский</v>
          </cell>
        </row>
        <row r="361">
          <cell r="A361">
            <v>4</v>
          </cell>
          <cell r="B361" t="str">
            <v xml:space="preserve">Каток  самоходный гладкий 5 тн </v>
          </cell>
          <cell r="C361" t="str">
            <v>м/ч</v>
          </cell>
          <cell r="D361">
            <v>46</v>
          </cell>
          <cell r="E361">
            <v>1.81</v>
          </cell>
          <cell r="F361">
            <v>84</v>
          </cell>
          <cell r="G361">
            <v>80.16</v>
          </cell>
          <cell r="H361">
            <v>3699</v>
          </cell>
          <cell r="I361">
            <v>44.29</v>
          </cell>
          <cell r="J361">
            <v>3616</v>
          </cell>
          <cell r="M361" t="str">
            <v>Калининский</v>
          </cell>
        </row>
        <row r="362">
          <cell r="A362">
            <v>5</v>
          </cell>
          <cell r="B362" t="str">
            <v xml:space="preserve">Экскаватор </v>
          </cell>
          <cell r="C362" t="str">
            <v>м/ч</v>
          </cell>
          <cell r="D362">
            <v>4</v>
          </cell>
          <cell r="E362">
            <v>2.72</v>
          </cell>
          <cell r="F362">
            <v>12</v>
          </cell>
          <cell r="G362">
            <v>103.25</v>
          </cell>
          <cell r="H362">
            <v>441</v>
          </cell>
          <cell r="I362">
            <v>37.96</v>
          </cell>
          <cell r="J362">
            <v>429</v>
          </cell>
          <cell r="M362" t="str">
            <v>Калининский</v>
          </cell>
        </row>
        <row r="363">
          <cell r="A363">
            <v>6</v>
          </cell>
          <cell r="B363" t="str">
            <v>Машина бурильно-крановая</v>
          </cell>
          <cell r="C363" t="str">
            <v>м/ч</v>
          </cell>
          <cell r="D363">
            <v>1</v>
          </cell>
          <cell r="E363">
            <v>3.41</v>
          </cell>
          <cell r="F363">
            <v>2</v>
          </cell>
          <cell r="G363">
            <v>129.44999999999999</v>
          </cell>
          <cell r="H363">
            <v>76</v>
          </cell>
          <cell r="I363">
            <v>37.96</v>
          </cell>
          <cell r="J363">
            <v>74</v>
          </cell>
          <cell r="M363" t="str">
            <v>Калининский</v>
          </cell>
        </row>
        <row r="364">
          <cell r="A364">
            <v>7</v>
          </cell>
          <cell r="B364" t="str">
            <v>Автокран 3т</v>
          </cell>
          <cell r="C364" t="str">
            <v>м/ч</v>
          </cell>
          <cell r="D364">
            <v>0</v>
          </cell>
          <cell r="E364">
            <v>4.01</v>
          </cell>
          <cell r="F364">
            <v>2</v>
          </cell>
          <cell r="G364">
            <v>152.22</v>
          </cell>
          <cell r="H364">
            <v>64</v>
          </cell>
          <cell r="I364">
            <v>37.96</v>
          </cell>
          <cell r="J364">
            <v>62</v>
          </cell>
          <cell r="M364" t="str">
            <v>Калининский</v>
          </cell>
        </row>
        <row r="365">
          <cell r="A365">
            <v>8</v>
          </cell>
          <cell r="B365" t="str">
            <v>Прочие машины</v>
          </cell>
          <cell r="C365" t="str">
            <v>руб</v>
          </cell>
          <cell r="D365">
            <v>11</v>
          </cell>
          <cell r="E365">
            <v>1</v>
          </cell>
          <cell r="F365">
            <v>11</v>
          </cell>
          <cell r="H365">
            <v>0</v>
          </cell>
          <cell r="I365">
            <v>0</v>
          </cell>
          <cell r="J365">
            <v>-11</v>
          </cell>
          <cell r="M365" t="str">
            <v>Калининский</v>
          </cell>
        </row>
        <row r="366">
          <cell r="A366">
            <v>9</v>
          </cell>
          <cell r="F366">
            <v>0</v>
          </cell>
          <cell r="H366">
            <v>0</v>
          </cell>
          <cell r="I366" t="e">
            <v>#DIV/0!</v>
          </cell>
          <cell r="J366">
            <v>0</v>
          </cell>
          <cell r="M366" t="str">
            <v>Калининский</v>
          </cell>
        </row>
        <row r="367">
          <cell r="A367">
            <v>10</v>
          </cell>
          <cell r="F367">
            <v>0</v>
          </cell>
          <cell r="H367">
            <v>0</v>
          </cell>
          <cell r="I367" t="e">
            <v>#DIV/0!</v>
          </cell>
          <cell r="J367">
            <v>0</v>
          </cell>
          <cell r="M367" t="str">
            <v>Калининский</v>
          </cell>
        </row>
        <row r="368">
          <cell r="M368" t="str">
            <v>Калининский</v>
          </cell>
        </row>
        <row r="369">
          <cell r="A369" t="str">
            <v>102-1.3.</v>
          </cell>
          <cell r="B369" t="str">
            <v>Материалы</v>
          </cell>
          <cell r="F369">
            <v>6657</v>
          </cell>
          <cell r="H369">
            <v>180781</v>
          </cell>
          <cell r="I369">
            <v>27.15</v>
          </cell>
          <cell r="J369">
            <v>173842</v>
          </cell>
          <cell r="K369">
            <v>102</v>
          </cell>
          <cell r="L369" t="str">
            <v>1.3.</v>
          </cell>
          <cell r="M369" t="str">
            <v>Калининский</v>
          </cell>
        </row>
        <row r="370">
          <cell r="B370" t="str">
            <v>Материальные ресурсы по нормам СНиП</v>
          </cell>
          <cell r="F370">
            <v>3258</v>
          </cell>
          <cell r="H370">
            <v>112265</v>
          </cell>
          <cell r="I370">
            <v>34.46</v>
          </cell>
          <cell r="J370">
            <v>108725</v>
          </cell>
          <cell r="M370" t="str">
            <v>Калининский</v>
          </cell>
        </row>
        <row r="371">
          <cell r="A371">
            <v>1</v>
          </cell>
          <cell r="B371" t="str">
            <v>ПГС</v>
          </cell>
          <cell r="C371" t="str">
            <v>м3</v>
          </cell>
          <cell r="D371">
            <v>263.39999999999998</v>
          </cell>
          <cell r="E371">
            <v>1.9</v>
          </cell>
          <cell r="F371">
            <v>500</v>
          </cell>
          <cell r="G371">
            <v>40.57</v>
          </cell>
          <cell r="H371">
            <v>10686</v>
          </cell>
          <cell r="I371">
            <v>21.35</v>
          </cell>
          <cell r="J371">
            <v>10186</v>
          </cell>
          <cell r="M371" t="str">
            <v>Калининский</v>
          </cell>
        </row>
        <row r="372">
          <cell r="A372">
            <v>2</v>
          </cell>
          <cell r="B372" t="str">
            <v>М/з а/б смесь</v>
          </cell>
          <cell r="C372" t="str">
            <v>т</v>
          </cell>
          <cell r="D372">
            <v>148</v>
          </cell>
          <cell r="E372">
            <v>14.84</v>
          </cell>
          <cell r="F372">
            <v>2196</v>
          </cell>
          <cell r="G372">
            <v>569.5</v>
          </cell>
          <cell r="H372">
            <v>84286</v>
          </cell>
          <cell r="I372">
            <v>38.380000000000003</v>
          </cell>
          <cell r="J372">
            <v>82090</v>
          </cell>
          <cell r="M372" t="str">
            <v>Калининский</v>
          </cell>
        </row>
        <row r="373">
          <cell r="A373">
            <v>3</v>
          </cell>
          <cell r="B373" t="str">
            <v>Бортовой камень Бр 100.30.18</v>
          </cell>
          <cell r="C373" t="str">
            <v>м3</v>
          </cell>
          <cell r="D373">
            <v>2.48</v>
          </cell>
          <cell r="E373">
            <v>43.6</v>
          </cell>
          <cell r="F373">
            <v>108</v>
          </cell>
          <cell r="G373">
            <v>1333.33</v>
          </cell>
          <cell r="H373">
            <v>3307</v>
          </cell>
          <cell r="I373">
            <v>30.58</v>
          </cell>
          <cell r="J373">
            <v>3199</v>
          </cell>
          <cell r="M373" t="str">
            <v>Калининский</v>
          </cell>
        </row>
        <row r="374">
          <cell r="A374">
            <v>4</v>
          </cell>
          <cell r="B374" t="str">
            <v>Бортовой камень Бр 100.20.8</v>
          </cell>
          <cell r="C374" t="str">
            <v>м3</v>
          </cell>
          <cell r="D374">
            <v>0.88</v>
          </cell>
          <cell r="E374">
            <v>49.4</v>
          </cell>
          <cell r="F374">
            <v>43</v>
          </cell>
          <cell r="G374">
            <v>1333.33</v>
          </cell>
          <cell r="H374">
            <v>1173</v>
          </cell>
          <cell r="I374">
            <v>26.99</v>
          </cell>
          <cell r="J374">
            <v>1130</v>
          </cell>
          <cell r="M374" t="str">
            <v>Калининский</v>
          </cell>
        </row>
        <row r="375">
          <cell r="A375">
            <v>5</v>
          </cell>
          <cell r="B375" t="str">
            <v>Барьерное ограждение</v>
          </cell>
          <cell r="C375" t="str">
            <v>т</v>
          </cell>
          <cell r="D375">
            <v>0.4</v>
          </cell>
          <cell r="E375">
            <v>432.5</v>
          </cell>
          <cell r="F375">
            <v>173</v>
          </cell>
          <cell r="G375">
            <v>17955</v>
          </cell>
          <cell r="H375">
            <v>7182</v>
          </cell>
          <cell r="I375">
            <v>41.51</v>
          </cell>
          <cell r="J375">
            <v>7009</v>
          </cell>
          <cell r="M375" t="str">
            <v>Калининский</v>
          </cell>
        </row>
        <row r="376">
          <cell r="A376">
            <v>6</v>
          </cell>
          <cell r="B376" t="str">
            <v>Бетон М 100</v>
          </cell>
          <cell r="C376" t="str">
            <v>м3</v>
          </cell>
          <cell r="D376">
            <v>2.1</v>
          </cell>
          <cell r="E376">
            <v>16.53</v>
          </cell>
          <cell r="F376">
            <v>35</v>
          </cell>
          <cell r="G376">
            <v>525</v>
          </cell>
          <cell r="H376">
            <v>1103</v>
          </cell>
          <cell r="I376">
            <v>31.76</v>
          </cell>
          <cell r="J376">
            <v>1068</v>
          </cell>
          <cell r="M376" t="str">
            <v>Калининский</v>
          </cell>
        </row>
        <row r="377">
          <cell r="A377">
            <v>7</v>
          </cell>
          <cell r="B377" t="str">
            <v>Краска масляная</v>
          </cell>
          <cell r="C377" t="str">
            <v>кг</v>
          </cell>
          <cell r="D377">
            <v>5</v>
          </cell>
          <cell r="E377">
            <v>1.8</v>
          </cell>
          <cell r="F377">
            <v>9</v>
          </cell>
          <cell r="G377">
            <v>29.17</v>
          </cell>
          <cell r="H377">
            <v>146</v>
          </cell>
          <cell r="I377">
            <v>16.21</v>
          </cell>
          <cell r="J377">
            <v>137</v>
          </cell>
          <cell r="M377" t="str">
            <v>Калининский</v>
          </cell>
        </row>
        <row r="378">
          <cell r="A378">
            <v>8</v>
          </cell>
          <cell r="B378" t="str">
            <v>Знаки дорожные</v>
          </cell>
          <cell r="C378" t="str">
            <v>шт</v>
          </cell>
          <cell r="D378">
            <v>8</v>
          </cell>
          <cell r="E378">
            <v>18.59</v>
          </cell>
          <cell r="F378">
            <v>149</v>
          </cell>
          <cell r="G378">
            <v>442.71</v>
          </cell>
          <cell r="H378">
            <v>3542</v>
          </cell>
          <cell r="I378">
            <v>23.81</v>
          </cell>
          <cell r="J378">
            <v>3393</v>
          </cell>
          <cell r="M378" t="str">
            <v>Калининский</v>
          </cell>
        </row>
        <row r="379">
          <cell r="A379">
            <v>9</v>
          </cell>
          <cell r="B379" t="str">
            <v>Стойка ж/б</v>
          </cell>
          <cell r="C379" t="str">
            <v>м3</v>
          </cell>
          <cell r="D379">
            <v>0.16</v>
          </cell>
          <cell r="E379">
            <v>67.97</v>
          </cell>
          <cell r="F379">
            <v>11</v>
          </cell>
          <cell r="G379">
            <v>2750</v>
          </cell>
          <cell r="H379">
            <v>440</v>
          </cell>
          <cell r="I379">
            <v>40.46</v>
          </cell>
          <cell r="J379">
            <v>429</v>
          </cell>
          <cell r="M379" t="str">
            <v>Калининский</v>
          </cell>
        </row>
        <row r="380">
          <cell r="A380">
            <v>10</v>
          </cell>
          <cell r="B380" t="str">
            <v>Берма ж/б</v>
          </cell>
          <cell r="C380" t="str">
            <v>м3</v>
          </cell>
          <cell r="D380">
            <v>0.03</v>
          </cell>
          <cell r="E380">
            <v>67.97</v>
          </cell>
          <cell r="F380">
            <v>2</v>
          </cell>
          <cell r="G380">
            <v>2750</v>
          </cell>
          <cell r="H380">
            <v>88</v>
          </cell>
          <cell r="I380">
            <v>40.46</v>
          </cell>
          <cell r="J380">
            <v>86</v>
          </cell>
          <cell r="M380" t="str">
            <v>Калининский</v>
          </cell>
        </row>
        <row r="381">
          <cell r="A381">
            <v>11</v>
          </cell>
          <cell r="B381" t="str">
            <v>Прочие материалы</v>
          </cell>
          <cell r="C381" t="str">
            <v>руб</v>
          </cell>
          <cell r="D381">
            <v>31.28</v>
          </cell>
          <cell r="E381">
            <v>1</v>
          </cell>
          <cell r="F381">
            <v>31</v>
          </cell>
          <cell r="G381">
            <v>10</v>
          </cell>
          <cell r="H381">
            <v>313</v>
          </cell>
          <cell r="M381" t="str">
            <v>Калининский</v>
          </cell>
        </row>
        <row r="382">
          <cell r="B382" t="str">
            <v>Транспортировка материалов, т (вид транспорта, км)</v>
          </cell>
          <cell r="F382">
            <v>3399</v>
          </cell>
          <cell r="H382">
            <v>68516</v>
          </cell>
          <cell r="I382">
            <v>20.16</v>
          </cell>
          <cell r="J382">
            <v>65116</v>
          </cell>
          <cell r="M382" t="str">
            <v>Калининский</v>
          </cell>
        </row>
        <row r="383">
          <cell r="A383">
            <v>1</v>
          </cell>
          <cell r="B383" t="str">
            <v>ПГС  139 км</v>
          </cell>
          <cell r="C383" t="str">
            <v>т</v>
          </cell>
          <cell r="D383">
            <v>474.12</v>
          </cell>
          <cell r="E383">
            <v>6.41</v>
          </cell>
          <cell r="F383">
            <v>3039</v>
          </cell>
          <cell r="G383">
            <v>136.4</v>
          </cell>
          <cell r="H383">
            <v>64670</v>
          </cell>
          <cell r="I383">
            <v>21.28</v>
          </cell>
          <cell r="J383">
            <v>61631</v>
          </cell>
          <cell r="M383" t="str">
            <v>Калининский</v>
          </cell>
        </row>
        <row r="384">
          <cell r="A384">
            <v>2</v>
          </cell>
          <cell r="B384" t="str">
            <v>М/з а/б смесь 2 км</v>
          </cell>
          <cell r="C384" t="str">
            <v>т</v>
          </cell>
          <cell r="D384">
            <v>148</v>
          </cell>
          <cell r="E384">
            <v>0.65</v>
          </cell>
          <cell r="F384">
            <v>96</v>
          </cell>
          <cell r="G384">
            <v>2.91</v>
          </cell>
          <cell r="H384">
            <v>431</v>
          </cell>
          <cell r="I384">
            <v>4.4800000000000004</v>
          </cell>
          <cell r="J384">
            <v>334</v>
          </cell>
          <cell r="M384" t="str">
            <v>Калининский</v>
          </cell>
        </row>
        <row r="385">
          <cell r="A385">
            <v>3</v>
          </cell>
          <cell r="B385" t="str">
            <v>Бортовой камень Бр 100.30.18  222 км</v>
          </cell>
          <cell r="C385" t="str">
            <v>т</v>
          </cell>
          <cell r="D385">
            <v>6.19</v>
          </cell>
          <cell r="E385">
            <v>8.7200000000000006</v>
          </cell>
          <cell r="F385">
            <v>54</v>
          </cell>
          <cell r="G385">
            <v>271.64999999999998</v>
          </cell>
          <cell r="H385">
            <v>1681</v>
          </cell>
          <cell r="I385">
            <v>31.15</v>
          </cell>
          <cell r="J385">
            <v>1627</v>
          </cell>
          <cell r="M385" t="str">
            <v>Калининский</v>
          </cell>
        </row>
        <row r="386">
          <cell r="A386">
            <v>4</v>
          </cell>
          <cell r="B386" t="str">
            <v>Бортовой камень Бр 100.20.8  222 км</v>
          </cell>
          <cell r="C386" t="str">
            <v>т</v>
          </cell>
          <cell r="D386">
            <v>2.2000000000000002</v>
          </cell>
          <cell r="E386">
            <v>8.7200000000000006</v>
          </cell>
          <cell r="F386">
            <v>19</v>
          </cell>
          <cell r="G386">
            <v>271.64999999999998</v>
          </cell>
          <cell r="H386">
            <v>598</v>
          </cell>
          <cell r="I386">
            <v>31.15</v>
          </cell>
          <cell r="J386">
            <v>578</v>
          </cell>
          <cell r="M386" t="str">
            <v>Калининский</v>
          </cell>
        </row>
        <row r="387">
          <cell r="A387">
            <v>5</v>
          </cell>
          <cell r="B387" t="str">
            <v>Барьерное ограждение 82 км</v>
          </cell>
          <cell r="C387" t="str">
            <v>т</v>
          </cell>
          <cell r="D387">
            <v>0.4</v>
          </cell>
          <cell r="E387">
            <v>4.74</v>
          </cell>
          <cell r="F387">
            <v>2</v>
          </cell>
          <cell r="G387">
            <v>97.2</v>
          </cell>
          <cell r="H387">
            <v>39</v>
          </cell>
          <cell r="I387">
            <v>20.51</v>
          </cell>
          <cell r="J387">
            <v>37</v>
          </cell>
          <cell r="M387" t="str">
            <v>Калининский</v>
          </cell>
        </row>
        <row r="388">
          <cell r="A388">
            <v>6</v>
          </cell>
          <cell r="B388" t="str">
            <v>Бетон М 100    2 км</v>
          </cell>
          <cell r="C388" t="str">
            <v>т</v>
          </cell>
          <cell r="D388">
            <v>4.62</v>
          </cell>
          <cell r="E388">
            <v>0.65</v>
          </cell>
          <cell r="F388">
            <v>3</v>
          </cell>
          <cell r="G388">
            <v>2.91</v>
          </cell>
          <cell r="H388">
            <v>13</v>
          </cell>
          <cell r="I388">
            <v>4.4800000000000004</v>
          </cell>
          <cell r="J388">
            <v>10</v>
          </cell>
          <cell r="M388" t="str">
            <v>Калининский</v>
          </cell>
        </row>
        <row r="389">
          <cell r="A389">
            <v>7</v>
          </cell>
          <cell r="B389" t="str">
            <v>Краска масляная</v>
          </cell>
          <cell r="C389" t="str">
            <v>кг</v>
          </cell>
          <cell r="D389">
            <v>5</v>
          </cell>
          <cell r="F389">
            <v>0</v>
          </cell>
          <cell r="H389">
            <v>0</v>
          </cell>
          <cell r="I389" t="e">
            <v>#DIV/0!</v>
          </cell>
          <cell r="J389">
            <v>0</v>
          </cell>
          <cell r="M389" t="str">
            <v>Калининский</v>
          </cell>
        </row>
        <row r="390">
          <cell r="A390">
            <v>8</v>
          </cell>
          <cell r="B390" t="str">
            <v>Прочие материал</v>
          </cell>
          <cell r="C390" t="str">
            <v>т</v>
          </cell>
          <cell r="D390">
            <v>1</v>
          </cell>
          <cell r="E390">
            <v>2.38</v>
          </cell>
          <cell r="F390">
            <v>2</v>
          </cell>
          <cell r="G390">
            <v>94.85</v>
          </cell>
          <cell r="H390">
            <v>95</v>
          </cell>
          <cell r="I390">
            <v>39.85</v>
          </cell>
          <cell r="J390">
            <v>92</v>
          </cell>
          <cell r="M390" t="str">
            <v>Калининский</v>
          </cell>
        </row>
        <row r="391">
          <cell r="A391">
            <v>9</v>
          </cell>
          <cell r="B391" t="str">
            <v>Грунт на 2 км</v>
          </cell>
          <cell r="C391" t="str">
            <v>т</v>
          </cell>
          <cell r="D391">
            <v>340</v>
          </cell>
          <cell r="E391">
            <v>0.54</v>
          </cell>
          <cell r="F391">
            <v>184</v>
          </cell>
          <cell r="G391">
            <v>2.91</v>
          </cell>
          <cell r="H391">
            <v>989</v>
          </cell>
          <cell r="I391">
            <v>5.39</v>
          </cell>
          <cell r="J391">
            <v>806</v>
          </cell>
          <cell r="M391" t="str">
            <v>Калининский</v>
          </cell>
        </row>
        <row r="392">
          <cell r="A392">
            <v>10</v>
          </cell>
          <cell r="C392" t="str">
            <v>т</v>
          </cell>
          <cell r="F392">
            <v>0</v>
          </cell>
          <cell r="H392">
            <v>0</v>
          </cell>
          <cell r="I392" t="e">
            <v>#DIV/0!</v>
          </cell>
          <cell r="J392">
            <v>0</v>
          </cell>
          <cell r="M392" t="str">
            <v>Калининский</v>
          </cell>
        </row>
        <row r="393">
          <cell r="M393" t="str">
            <v>Калининский</v>
          </cell>
        </row>
        <row r="394">
          <cell r="B394" t="str">
            <v>Заготовительно-складские расходы</v>
          </cell>
          <cell r="F394">
            <v>0</v>
          </cell>
          <cell r="H394">
            <v>0</v>
          </cell>
          <cell r="I394" t="e">
            <v>#DIV/0!</v>
          </cell>
          <cell r="J394">
            <v>0</v>
          </cell>
          <cell r="M394" t="str">
            <v>Калининский</v>
          </cell>
        </row>
        <row r="395">
          <cell r="A395">
            <v>1</v>
          </cell>
          <cell r="B395" t="str">
            <v>ПГС</v>
          </cell>
          <cell r="C395" t="str">
            <v>руб</v>
          </cell>
          <cell r="E395">
            <v>3539.57</v>
          </cell>
          <cell r="F395">
            <v>0</v>
          </cell>
          <cell r="H395">
            <v>0</v>
          </cell>
          <cell r="I395" t="e">
            <v>#DIV/0!</v>
          </cell>
          <cell r="J395">
            <v>0</v>
          </cell>
          <cell r="M395" t="str">
            <v>Калининский</v>
          </cell>
        </row>
        <row r="396">
          <cell r="A396">
            <v>2</v>
          </cell>
          <cell r="B396" t="str">
            <v>М/з а/б смесь</v>
          </cell>
          <cell r="C396" t="str">
            <v>руб</v>
          </cell>
          <cell r="E396">
            <v>2292.52</v>
          </cell>
          <cell r="F396">
            <v>0</v>
          </cell>
          <cell r="H396">
            <v>0</v>
          </cell>
          <cell r="I396" t="e">
            <v>#DIV/0!</v>
          </cell>
          <cell r="J396">
            <v>0</v>
          </cell>
          <cell r="M396" t="str">
            <v>Калининский</v>
          </cell>
        </row>
        <row r="397">
          <cell r="A397">
            <v>3</v>
          </cell>
          <cell r="B397" t="str">
            <v>Бортовой камень Бр 100.30.18</v>
          </cell>
          <cell r="C397" t="str">
            <v>руб</v>
          </cell>
          <cell r="E397">
            <v>162.1</v>
          </cell>
          <cell r="F397">
            <v>0</v>
          </cell>
          <cell r="H397">
            <v>0</v>
          </cell>
          <cell r="I397" t="e">
            <v>#DIV/0!</v>
          </cell>
          <cell r="J397">
            <v>0</v>
          </cell>
          <cell r="M397" t="str">
            <v>Калининский</v>
          </cell>
        </row>
        <row r="398">
          <cell r="A398">
            <v>4</v>
          </cell>
          <cell r="B398" t="str">
            <v>Бортовой камень Бр 100.20.8</v>
          </cell>
          <cell r="C398" t="str">
            <v>руб</v>
          </cell>
          <cell r="E398">
            <v>62.66</v>
          </cell>
          <cell r="F398">
            <v>0</v>
          </cell>
          <cell r="H398">
            <v>0</v>
          </cell>
          <cell r="I398" t="e">
            <v>#DIV/0!</v>
          </cell>
          <cell r="J398">
            <v>0</v>
          </cell>
          <cell r="M398" t="str">
            <v>Калининский</v>
          </cell>
        </row>
        <row r="399">
          <cell r="A399">
            <v>5</v>
          </cell>
          <cell r="B399" t="str">
            <v>Барьерное ограждение</v>
          </cell>
          <cell r="C399" t="str">
            <v>руб</v>
          </cell>
          <cell r="E399">
            <v>174.9</v>
          </cell>
          <cell r="F399">
            <v>0</v>
          </cell>
          <cell r="H399">
            <v>0</v>
          </cell>
          <cell r="I399" t="e">
            <v>#DIV/0!</v>
          </cell>
          <cell r="J399">
            <v>0</v>
          </cell>
          <cell r="M399" t="str">
            <v>Калининский</v>
          </cell>
        </row>
        <row r="400">
          <cell r="A400">
            <v>6</v>
          </cell>
          <cell r="B400" t="str">
            <v>Бетон М 100</v>
          </cell>
          <cell r="C400" t="str">
            <v>руб</v>
          </cell>
          <cell r="E400">
            <v>37.72</v>
          </cell>
          <cell r="F400">
            <v>0</v>
          </cell>
          <cell r="H400">
            <v>0</v>
          </cell>
          <cell r="I400" t="e">
            <v>#DIV/0!</v>
          </cell>
          <cell r="J400">
            <v>0</v>
          </cell>
          <cell r="M400" t="str">
            <v>Калининский</v>
          </cell>
        </row>
        <row r="401">
          <cell r="A401">
            <v>7</v>
          </cell>
          <cell r="B401" t="str">
            <v>Краска масляная</v>
          </cell>
          <cell r="C401" t="str">
            <v>руб</v>
          </cell>
          <cell r="E401">
            <v>9</v>
          </cell>
          <cell r="F401">
            <v>0</v>
          </cell>
          <cell r="H401">
            <v>0</v>
          </cell>
          <cell r="I401" t="e">
            <v>#DIV/0!</v>
          </cell>
          <cell r="J401">
            <v>0</v>
          </cell>
          <cell r="M401" t="str">
            <v>Калининский</v>
          </cell>
        </row>
        <row r="402">
          <cell r="A402">
            <v>8</v>
          </cell>
          <cell r="B402" t="str">
            <v>Знаки дорожные</v>
          </cell>
          <cell r="C402" t="str">
            <v>руб</v>
          </cell>
          <cell r="E402">
            <v>151.1</v>
          </cell>
          <cell r="F402">
            <v>0</v>
          </cell>
          <cell r="H402">
            <v>0</v>
          </cell>
          <cell r="I402" t="e">
            <v>#DIV/0!</v>
          </cell>
          <cell r="J402">
            <v>0</v>
          </cell>
          <cell r="M402" t="str">
            <v>Калининский</v>
          </cell>
        </row>
        <row r="403">
          <cell r="A403">
            <v>9</v>
          </cell>
          <cell r="B403" t="str">
            <v>Стойка ж/б</v>
          </cell>
          <cell r="C403" t="str">
            <v>руб</v>
          </cell>
          <cell r="E403">
            <v>194.48</v>
          </cell>
          <cell r="F403">
            <v>0</v>
          </cell>
          <cell r="H403">
            <v>0</v>
          </cell>
          <cell r="I403" t="e">
            <v>#DIV/0!</v>
          </cell>
          <cell r="J403">
            <v>0</v>
          </cell>
          <cell r="M403" t="str">
            <v>Калининский</v>
          </cell>
        </row>
        <row r="404">
          <cell r="A404">
            <v>10</v>
          </cell>
          <cell r="B404" t="str">
            <v>Берма ж/б</v>
          </cell>
          <cell r="C404" t="str">
            <v>руб</v>
          </cell>
          <cell r="E404">
            <v>2.1800000000000002</v>
          </cell>
          <cell r="F404">
            <v>0</v>
          </cell>
          <cell r="H404">
            <v>0</v>
          </cell>
          <cell r="I404" t="e">
            <v>#DIV/0!</v>
          </cell>
          <cell r="J404">
            <v>0</v>
          </cell>
          <cell r="M404" t="str">
            <v>Калининский</v>
          </cell>
        </row>
        <row r="405">
          <cell r="M405" t="str">
            <v>Калининский</v>
          </cell>
        </row>
        <row r="406">
          <cell r="M406" t="str">
            <v>Калининский</v>
          </cell>
        </row>
        <row r="407">
          <cell r="B407" t="str">
            <v>Составил:______________________________</v>
          </cell>
          <cell r="M407" t="str">
            <v>Калининский</v>
          </cell>
        </row>
        <row r="408">
          <cell r="M408" t="str">
            <v>Калининский</v>
          </cell>
        </row>
        <row r="409">
          <cell r="B409" t="str">
            <v>Начальник ТДО: ________________________</v>
          </cell>
        </row>
        <row r="410">
          <cell r="B410" t="e">
            <v>#N/A</v>
          </cell>
          <cell r="M410" t="e">
            <v>#N/A</v>
          </cell>
        </row>
        <row r="411">
          <cell r="A411" t="str">
            <v>0-1.1.</v>
          </cell>
          <cell r="B411" t="str">
            <v>Фонд заработной платы</v>
          </cell>
          <cell r="D411">
            <v>12097</v>
          </cell>
          <cell r="F411">
            <v>8248</v>
          </cell>
          <cell r="H411">
            <v>163136.69400000002</v>
          </cell>
          <cell r="I411">
            <v>19.778939621726483</v>
          </cell>
          <cell r="J411">
            <v>154888.69400000002</v>
          </cell>
          <cell r="K411">
            <v>0</v>
          </cell>
          <cell r="L411" t="str">
            <v>1.1.</v>
          </cell>
          <cell r="M411" t="e">
            <v>#N/A</v>
          </cell>
        </row>
        <row r="412">
          <cell r="A412" t="str">
            <v>0-1.1.1.</v>
          </cell>
          <cell r="B412" t="str">
            <v>Основные рабочие</v>
          </cell>
          <cell r="C412" t="str">
            <v>ч/ч</v>
          </cell>
          <cell r="D412">
            <v>7484</v>
          </cell>
          <cell r="E412">
            <v>0.55104222340994125</v>
          </cell>
          <cell r="F412">
            <v>4124</v>
          </cell>
          <cell r="G412">
            <v>12.201000000000002</v>
          </cell>
          <cell r="H412">
            <v>91312.284000000014</v>
          </cell>
          <cell r="I412">
            <v>22.141678952473331</v>
          </cell>
          <cell r="J412">
            <v>87188.284000000014</v>
          </cell>
          <cell r="K412">
            <v>0</v>
          </cell>
          <cell r="L412" t="str">
            <v>1.1.1.</v>
          </cell>
          <cell r="M412" t="e">
            <v>#N/A</v>
          </cell>
        </row>
        <row r="413">
          <cell r="A413" t="str">
            <v>0-1.1.2.</v>
          </cell>
          <cell r="B413" t="str">
            <v>Машинисты</v>
          </cell>
          <cell r="C413" t="str">
            <v>ч/ч</v>
          </cell>
          <cell r="D413">
            <v>4613</v>
          </cell>
          <cell r="E413">
            <v>0.89399523086928245</v>
          </cell>
          <cell r="F413">
            <v>4124</v>
          </cell>
          <cell r="G413">
            <v>15.57</v>
          </cell>
          <cell r="H413">
            <v>71824.41</v>
          </cell>
          <cell r="I413">
            <v>17.416200290979631</v>
          </cell>
          <cell r="J413">
            <v>67700.41</v>
          </cell>
          <cell r="K413">
            <v>0</v>
          </cell>
          <cell r="L413" t="str">
            <v>1.1.2.</v>
          </cell>
          <cell r="M413" t="e">
            <v>#N/A</v>
          </cell>
        </row>
        <row r="414">
          <cell r="M414" t="e">
            <v>#N/A</v>
          </cell>
        </row>
        <row r="415">
          <cell r="A415" t="str">
            <v>0-1.2.</v>
          </cell>
          <cell r="B415" t="str">
            <v>Технические ресурсы по нормам СНиП (без зарботной платы машиниста)</v>
          </cell>
          <cell r="F415">
            <v>256.8</v>
          </cell>
          <cell r="H415">
            <v>14000</v>
          </cell>
          <cell r="I415">
            <v>54.517133956386289</v>
          </cell>
          <cell r="J415">
            <v>13743.2</v>
          </cell>
          <cell r="K415">
            <v>0</v>
          </cell>
          <cell r="L415" t="str">
            <v>1.2.</v>
          </cell>
          <cell r="M415" t="e">
            <v>#N/A</v>
          </cell>
        </row>
        <row r="416">
          <cell r="A416">
            <v>1</v>
          </cell>
          <cell r="B416" t="str">
            <v>Автогрейдер средний</v>
          </cell>
          <cell r="C416" t="str">
            <v>м/ч</v>
          </cell>
          <cell r="D416">
            <v>100</v>
          </cell>
          <cell r="E416">
            <v>2.5680000000000001</v>
          </cell>
          <cell r="F416">
            <v>256.8</v>
          </cell>
          <cell r="G416">
            <v>140</v>
          </cell>
          <cell r="H416">
            <v>14000</v>
          </cell>
          <cell r="I416">
            <v>54.517133956386289</v>
          </cell>
          <cell r="J416">
            <v>13743.2</v>
          </cell>
          <cell r="M416" t="e">
            <v>#N/A</v>
          </cell>
        </row>
        <row r="417">
          <cell r="A417">
            <v>2</v>
          </cell>
          <cell r="B417" t="str">
            <v>Бульдозер</v>
          </cell>
          <cell r="C417" t="str">
            <v>м/ч</v>
          </cell>
          <cell r="D417">
            <v>1</v>
          </cell>
          <cell r="F417">
            <v>0</v>
          </cell>
          <cell r="H417">
            <v>0</v>
          </cell>
          <cell r="I417" t="e">
            <v>#DIV/0!</v>
          </cell>
          <cell r="J417">
            <v>0</v>
          </cell>
          <cell r="M417" t="e">
            <v>#N/A</v>
          </cell>
        </row>
        <row r="418">
          <cell r="A418">
            <v>3</v>
          </cell>
          <cell r="C418" t="str">
            <v>м/ч</v>
          </cell>
          <cell r="D418">
            <v>1</v>
          </cell>
          <cell r="F418">
            <v>0</v>
          </cell>
          <cell r="H418">
            <v>0</v>
          </cell>
          <cell r="I418" t="e">
            <v>#DIV/0!</v>
          </cell>
          <cell r="J418">
            <v>0</v>
          </cell>
          <cell r="M418" t="e">
            <v>#N/A</v>
          </cell>
        </row>
        <row r="419">
          <cell r="A419">
            <v>4</v>
          </cell>
          <cell r="C419" t="str">
            <v>м/ч</v>
          </cell>
          <cell r="F419">
            <v>0</v>
          </cell>
          <cell r="H419">
            <v>0</v>
          </cell>
          <cell r="I419" t="e">
            <v>#DIV/0!</v>
          </cell>
          <cell r="J419">
            <v>0</v>
          </cell>
          <cell r="M419" t="e">
            <v>#N/A</v>
          </cell>
        </row>
        <row r="420">
          <cell r="A420">
            <v>5</v>
          </cell>
          <cell r="C420" t="str">
            <v>м/ч</v>
          </cell>
          <cell r="F420">
            <v>0</v>
          </cell>
          <cell r="H420">
            <v>0</v>
          </cell>
          <cell r="I420" t="e">
            <v>#DIV/0!</v>
          </cell>
          <cell r="J420">
            <v>0</v>
          </cell>
          <cell r="M420" t="e">
            <v>#N/A</v>
          </cell>
        </row>
        <row r="421">
          <cell r="A421">
            <v>6</v>
          </cell>
          <cell r="C421" t="str">
            <v>м/ч</v>
          </cell>
          <cell r="F421">
            <v>0</v>
          </cell>
          <cell r="H421">
            <v>0</v>
          </cell>
          <cell r="I421" t="e">
            <v>#DIV/0!</v>
          </cell>
          <cell r="J421">
            <v>0</v>
          </cell>
          <cell r="M421" t="e">
            <v>#N/A</v>
          </cell>
        </row>
        <row r="422">
          <cell r="A422">
            <v>7</v>
          </cell>
          <cell r="C422" t="str">
            <v>м/ч</v>
          </cell>
          <cell r="F422">
            <v>0</v>
          </cell>
          <cell r="H422">
            <v>0</v>
          </cell>
          <cell r="I422" t="e">
            <v>#DIV/0!</v>
          </cell>
          <cell r="J422">
            <v>0</v>
          </cell>
          <cell r="M422" t="e">
            <v>#N/A</v>
          </cell>
        </row>
        <row r="423">
          <cell r="A423">
            <v>8</v>
          </cell>
          <cell r="C423" t="str">
            <v>м/ч</v>
          </cell>
          <cell r="F423">
            <v>0</v>
          </cell>
          <cell r="H423">
            <v>0</v>
          </cell>
          <cell r="I423" t="e">
            <v>#DIV/0!</v>
          </cell>
          <cell r="J423">
            <v>0</v>
          </cell>
          <cell r="M423" t="e">
            <v>#N/A</v>
          </cell>
        </row>
        <row r="424">
          <cell r="A424">
            <v>9</v>
          </cell>
          <cell r="C424" t="str">
            <v>м/ч</v>
          </cell>
          <cell r="F424">
            <v>0</v>
          </cell>
          <cell r="H424">
            <v>0</v>
          </cell>
          <cell r="I424" t="e">
            <v>#DIV/0!</v>
          </cell>
          <cell r="J424">
            <v>0</v>
          </cell>
          <cell r="M424" t="e">
            <v>#N/A</v>
          </cell>
        </row>
        <row r="425">
          <cell r="A425">
            <v>10</v>
          </cell>
          <cell r="C425" t="str">
            <v>м/ч</v>
          </cell>
          <cell r="F425">
            <v>0</v>
          </cell>
          <cell r="H425">
            <v>0</v>
          </cell>
          <cell r="I425" t="e">
            <v>#DIV/0!</v>
          </cell>
          <cell r="J425">
            <v>0</v>
          </cell>
          <cell r="M425" t="e">
            <v>#N/A</v>
          </cell>
        </row>
        <row r="426">
          <cell r="M426" t="e">
            <v>#N/A</v>
          </cell>
        </row>
        <row r="427">
          <cell r="A427" t="str">
            <v>0-1.3.</v>
          </cell>
          <cell r="B427" t="str">
            <v>Материалы</v>
          </cell>
          <cell r="F427">
            <v>1246.44</v>
          </cell>
          <cell r="H427">
            <v>24440</v>
          </cell>
          <cell r="I427">
            <v>19.6078431372549</v>
          </cell>
          <cell r="J427">
            <v>23193.56</v>
          </cell>
          <cell r="K427">
            <v>0</v>
          </cell>
          <cell r="L427" t="str">
            <v>1.3.</v>
          </cell>
          <cell r="M427" t="e">
            <v>#N/A</v>
          </cell>
        </row>
        <row r="428">
          <cell r="B428" t="str">
            <v>Материальные ресурсы по нормам СНиП</v>
          </cell>
          <cell r="F428">
            <v>0</v>
          </cell>
          <cell r="H428">
            <v>0</v>
          </cell>
          <cell r="I428" t="e">
            <v>#DIV/0!</v>
          </cell>
          <cell r="J428">
            <v>0</v>
          </cell>
          <cell r="M428" t="e">
            <v>#N/A</v>
          </cell>
        </row>
        <row r="429">
          <cell r="A429">
            <v>1</v>
          </cell>
          <cell r="C429" t="str">
            <v>м3</v>
          </cell>
          <cell r="F429">
            <v>0</v>
          </cell>
          <cell r="H429">
            <v>0</v>
          </cell>
          <cell r="I429" t="e">
            <v>#DIV/0!</v>
          </cell>
          <cell r="J429">
            <v>0</v>
          </cell>
          <cell r="M429" t="e">
            <v>#N/A</v>
          </cell>
        </row>
        <row r="430">
          <cell r="A430">
            <v>2</v>
          </cell>
          <cell r="F430">
            <v>0</v>
          </cell>
          <cell r="H430">
            <v>0</v>
          </cell>
          <cell r="I430" t="e">
            <v>#DIV/0!</v>
          </cell>
          <cell r="J430">
            <v>0</v>
          </cell>
          <cell r="M430" t="e">
            <v>#N/A</v>
          </cell>
        </row>
        <row r="431">
          <cell r="A431">
            <v>3</v>
          </cell>
          <cell r="F431">
            <v>0</v>
          </cell>
          <cell r="H431">
            <v>0</v>
          </cell>
          <cell r="I431" t="e">
            <v>#DIV/0!</v>
          </cell>
          <cell r="J431">
            <v>0</v>
          </cell>
          <cell r="M431" t="e">
            <v>#N/A</v>
          </cell>
        </row>
        <row r="432">
          <cell r="A432">
            <v>4</v>
          </cell>
          <cell r="F432">
            <v>0</v>
          </cell>
          <cell r="H432">
            <v>0</v>
          </cell>
          <cell r="I432" t="e">
            <v>#DIV/0!</v>
          </cell>
          <cell r="J432">
            <v>0</v>
          </cell>
          <cell r="M432" t="e">
            <v>#N/A</v>
          </cell>
        </row>
        <row r="433">
          <cell r="A433">
            <v>5</v>
          </cell>
          <cell r="F433">
            <v>0</v>
          </cell>
          <cell r="H433">
            <v>0</v>
          </cell>
          <cell r="I433" t="e">
            <v>#DIV/0!</v>
          </cell>
          <cell r="J433">
            <v>0</v>
          </cell>
          <cell r="M433" t="e">
            <v>#N/A</v>
          </cell>
        </row>
        <row r="434">
          <cell r="A434">
            <v>6</v>
          </cell>
          <cell r="F434">
            <v>0</v>
          </cell>
          <cell r="H434">
            <v>0</v>
          </cell>
          <cell r="I434" t="e">
            <v>#DIV/0!</v>
          </cell>
          <cell r="J434">
            <v>0</v>
          </cell>
          <cell r="M434" t="e">
            <v>#N/A</v>
          </cell>
        </row>
        <row r="435">
          <cell r="A435">
            <v>7</v>
          </cell>
          <cell r="F435">
            <v>0</v>
          </cell>
          <cell r="H435">
            <v>0</v>
          </cell>
          <cell r="I435" t="e">
            <v>#DIV/0!</v>
          </cell>
          <cell r="J435">
            <v>0</v>
          </cell>
          <cell r="M435" t="e">
            <v>#N/A</v>
          </cell>
        </row>
        <row r="436">
          <cell r="A436">
            <v>8</v>
          </cell>
          <cell r="F436">
            <v>0</v>
          </cell>
          <cell r="H436">
            <v>0</v>
          </cell>
          <cell r="I436" t="e">
            <v>#DIV/0!</v>
          </cell>
          <cell r="J436">
            <v>0</v>
          </cell>
          <cell r="M436" t="e">
            <v>#N/A</v>
          </cell>
        </row>
        <row r="437">
          <cell r="A437">
            <v>9</v>
          </cell>
          <cell r="F437">
            <v>0</v>
          </cell>
          <cell r="H437">
            <v>0</v>
          </cell>
          <cell r="I437" t="e">
            <v>#DIV/0!</v>
          </cell>
          <cell r="J437">
            <v>0</v>
          </cell>
          <cell r="M437" t="e">
            <v>#N/A</v>
          </cell>
        </row>
        <row r="438">
          <cell r="A438">
            <v>10</v>
          </cell>
          <cell r="F438">
            <v>0</v>
          </cell>
          <cell r="H438">
            <v>0</v>
          </cell>
          <cell r="I438" t="e">
            <v>#DIV/0!</v>
          </cell>
          <cell r="J438">
            <v>0</v>
          </cell>
          <cell r="M438" t="e">
            <v>#N/A</v>
          </cell>
        </row>
        <row r="439">
          <cell r="M439" t="e">
            <v>#N/A</v>
          </cell>
        </row>
        <row r="440">
          <cell r="B440" t="str">
            <v>Транспортировка материалов, т (вид транспорта, км)</v>
          </cell>
          <cell r="F440">
            <v>1222</v>
          </cell>
          <cell r="H440">
            <v>24440</v>
          </cell>
          <cell r="I440">
            <v>20</v>
          </cell>
          <cell r="J440">
            <v>23218</v>
          </cell>
          <cell r="M440" t="e">
            <v>#N/A</v>
          </cell>
        </row>
        <row r="441">
          <cell r="A441">
            <v>1</v>
          </cell>
          <cell r="C441" t="str">
            <v>т</v>
          </cell>
          <cell r="D441">
            <v>1222</v>
          </cell>
          <cell r="E441">
            <v>1</v>
          </cell>
          <cell r="F441">
            <v>1222</v>
          </cell>
          <cell r="G441">
            <v>20</v>
          </cell>
          <cell r="H441">
            <v>24440</v>
          </cell>
          <cell r="I441">
            <v>20</v>
          </cell>
          <cell r="J441">
            <v>23218</v>
          </cell>
          <cell r="M441" t="e">
            <v>#N/A</v>
          </cell>
        </row>
        <row r="442">
          <cell r="A442">
            <v>2</v>
          </cell>
          <cell r="C442" t="str">
            <v>т</v>
          </cell>
          <cell r="F442">
            <v>0</v>
          </cell>
          <cell r="H442">
            <v>0</v>
          </cell>
          <cell r="I442" t="e">
            <v>#DIV/0!</v>
          </cell>
          <cell r="J442">
            <v>0</v>
          </cell>
          <cell r="M442" t="e">
            <v>#N/A</v>
          </cell>
        </row>
        <row r="443">
          <cell r="A443">
            <v>3</v>
          </cell>
          <cell r="C443" t="str">
            <v>т</v>
          </cell>
          <cell r="F443">
            <v>0</v>
          </cell>
          <cell r="H443">
            <v>0</v>
          </cell>
          <cell r="I443" t="e">
            <v>#DIV/0!</v>
          </cell>
          <cell r="J443">
            <v>0</v>
          </cell>
          <cell r="M443" t="e">
            <v>#N/A</v>
          </cell>
        </row>
        <row r="444">
          <cell r="A444">
            <v>4</v>
          </cell>
          <cell r="C444" t="str">
            <v>т</v>
          </cell>
          <cell r="F444">
            <v>0</v>
          </cell>
          <cell r="H444">
            <v>0</v>
          </cell>
          <cell r="I444" t="e">
            <v>#DIV/0!</v>
          </cell>
          <cell r="J444">
            <v>0</v>
          </cell>
          <cell r="M444" t="e">
            <v>#N/A</v>
          </cell>
        </row>
        <row r="445">
          <cell r="A445">
            <v>5</v>
          </cell>
          <cell r="C445" t="str">
            <v>т</v>
          </cell>
          <cell r="F445">
            <v>0</v>
          </cell>
          <cell r="H445">
            <v>0</v>
          </cell>
          <cell r="I445" t="e">
            <v>#DIV/0!</v>
          </cell>
          <cell r="J445">
            <v>0</v>
          </cell>
          <cell r="M445" t="e">
            <v>#N/A</v>
          </cell>
        </row>
        <row r="446">
          <cell r="A446">
            <v>6</v>
          </cell>
          <cell r="C446" t="str">
            <v>т</v>
          </cell>
          <cell r="F446">
            <v>0</v>
          </cell>
          <cell r="H446">
            <v>0</v>
          </cell>
          <cell r="I446" t="e">
            <v>#DIV/0!</v>
          </cell>
          <cell r="J446">
            <v>0</v>
          </cell>
          <cell r="M446" t="e">
            <v>#N/A</v>
          </cell>
        </row>
        <row r="447">
          <cell r="A447">
            <v>7</v>
          </cell>
          <cell r="C447" t="str">
            <v>т</v>
          </cell>
          <cell r="F447">
            <v>0</v>
          </cell>
          <cell r="H447">
            <v>0</v>
          </cell>
          <cell r="I447" t="e">
            <v>#DIV/0!</v>
          </cell>
          <cell r="J447">
            <v>0</v>
          </cell>
          <cell r="M447" t="e">
            <v>#N/A</v>
          </cell>
        </row>
        <row r="448">
          <cell r="A448">
            <v>8</v>
          </cell>
          <cell r="C448" t="str">
            <v>т</v>
          </cell>
          <cell r="F448">
            <v>0</v>
          </cell>
          <cell r="H448">
            <v>0</v>
          </cell>
          <cell r="I448" t="e">
            <v>#DIV/0!</v>
          </cell>
          <cell r="J448">
            <v>0</v>
          </cell>
          <cell r="M448" t="e">
            <v>#N/A</v>
          </cell>
        </row>
        <row r="449">
          <cell r="A449">
            <v>9</v>
          </cell>
          <cell r="C449" t="str">
            <v>т</v>
          </cell>
          <cell r="F449">
            <v>0</v>
          </cell>
          <cell r="H449">
            <v>0</v>
          </cell>
          <cell r="I449" t="e">
            <v>#DIV/0!</v>
          </cell>
          <cell r="J449">
            <v>0</v>
          </cell>
          <cell r="M449" t="e">
            <v>#N/A</v>
          </cell>
        </row>
        <row r="450">
          <cell r="A450">
            <v>10</v>
          </cell>
          <cell r="C450" t="str">
            <v>т</v>
          </cell>
          <cell r="F450">
            <v>0</v>
          </cell>
          <cell r="H450">
            <v>0</v>
          </cell>
          <cell r="I450" t="e">
            <v>#DIV/0!</v>
          </cell>
          <cell r="J450">
            <v>0</v>
          </cell>
          <cell r="M450" t="e">
            <v>#N/A</v>
          </cell>
        </row>
        <row r="451">
          <cell r="M451" t="e">
            <v>#N/A</v>
          </cell>
        </row>
        <row r="452">
          <cell r="B452" t="str">
            <v>Заготовительно-складские расходы</v>
          </cell>
          <cell r="F452">
            <v>24.44</v>
          </cell>
          <cell r="H452">
            <v>0</v>
          </cell>
          <cell r="I452">
            <v>0</v>
          </cell>
          <cell r="J452">
            <v>-24.44</v>
          </cell>
          <cell r="M452" t="e">
            <v>#N/A</v>
          </cell>
        </row>
        <row r="453">
          <cell r="A453">
            <v>1</v>
          </cell>
          <cell r="B453">
            <v>0</v>
          </cell>
          <cell r="C453" t="str">
            <v>руб</v>
          </cell>
          <cell r="D453">
            <v>0.02</v>
          </cell>
          <cell r="E453">
            <v>1222</v>
          </cell>
          <cell r="F453">
            <v>24.44</v>
          </cell>
          <cell r="H453">
            <v>0</v>
          </cell>
          <cell r="I453">
            <v>0</v>
          </cell>
          <cell r="J453">
            <v>-24.44</v>
          </cell>
          <cell r="M453" t="e">
            <v>#N/A</v>
          </cell>
        </row>
        <row r="454">
          <cell r="A454">
            <v>2</v>
          </cell>
          <cell r="B454">
            <v>0</v>
          </cell>
          <cell r="C454" t="str">
            <v>руб</v>
          </cell>
          <cell r="E454">
            <v>0</v>
          </cell>
          <cell r="F454">
            <v>0</v>
          </cell>
          <cell r="H454">
            <v>0</v>
          </cell>
          <cell r="I454" t="e">
            <v>#DIV/0!</v>
          </cell>
          <cell r="J454">
            <v>0</v>
          </cell>
          <cell r="M454" t="e">
            <v>#N/A</v>
          </cell>
        </row>
        <row r="455">
          <cell r="A455">
            <v>3</v>
          </cell>
          <cell r="B455">
            <v>0</v>
          </cell>
          <cell r="C455" t="str">
            <v>руб</v>
          </cell>
          <cell r="E455">
            <v>0</v>
          </cell>
          <cell r="F455">
            <v>0</v>
          </cell>
          <cell r="H455">
            <v>0</v>
          </cell>
          <cell r="I455" t="e">
            <v>#DIV/0!</v>
          </cell>
          <cell r="J455">
            <v>0</v>
          </cell>
          <cell r="M455" t="e">
            <v>#N/A</v>
          </cell>
        </row>
        <row r="456">
          <cell r="A456">
            <v>4</v>
          </cell>
          <cell r="B456">
            <v>0</v>
          </cell>
          <cell r="C456" t="str">
            <v>руб</v>
          </cell>
          <cell r="E456">
            <v>0</v>
          </cell>
          <cell r="F456">
            <v>0</v>
          </cell>
          <cell r="H456">
            <v>0</v>
          </cell>
          <cell r="I456" t="e">
            <v>#DIV/0!</v>
          </cell>
          <cell r="J456">
            <v>0</v>
          </cell>
          <cell r="M456" t="e">
            <v>#N/A</v>
          </cell>
        </row>
        <row r="457">
          <cell r="A457">
            <v>5</v>
          </cell>
          <cell r="B457">
            <v>0</v>
          </cell>
          <cell r="C457" t="str">
            <v>руб</v>
          </cell>
          <cell r="E457">
            <v>0</v>
          </cell>
          <cell r="F457">
            <v>0</v>
          </cell>
          <cell r="H457">
            <v>0</v>
          </cell>
          <cell r="I457" t="e">
            <v>#DIV/0!</v>
          </cell>
          <cell r="J457">
            <v>0</v>
          </cell>
          <cell r="M457" t="e">
            <v>#N/A</v>
          </cell>
        </row>
        <row r="458">
          <cell r="A458">
            <v>6</v>
          </cell>
          <cell r="B458">
            <v>0</v>
          </cell>
          <cell r="C458" t="str">
            <v>руб</v>
          </cell>
          <cell r="E458">
            <v>0</v>
          </cell>
          <cell r="F458">
            <v>0</v>
          </cell>
          <cell r="H458">
            <v>0</v>
          </cell>
          <cell r="I458" t="e">
            <v>#DIV/0!</v>
          </cell>
          <cell r="J458">
            <v>0</v>
          </cell>
          <cell r="M458" t="e">
            <v>#N/A</v>
          </cell>
        </row>
        <row r="459">
          <cell r="A459">
            <v>7</v>
          </cell>
          <cell r="B459">
            <v>0</v>
          </cell>
          <cell r="C459" t="str">
            <v>руб</v>
          </cell>
          <cell r="E459">
            <v>0</v>
          </cell>
          <cell r="F459">
            <v>0</v>
          </cell>
          <cell r="H459">
            <v>0</v>
          </cell>
          <cell r="I459" t="e">
            <v>#DIV/0!</v>
          </cell>
          <cell r="J459">
            <v>0</v>
          </cell>
          <cell r="M459" t="e">
            <v>#N/A</v>
          </cell>
        </row>
        <row r="460">
          <cell r="A460">
            <v>8</v>
          </cell>
          <cell r="B460">
            <v>0</v>
          </cell>
          <cell r="C460" t="str">
            <v>руб</v>
          </cell>
          <cell r="E460">
            <v>0</v>
          </cell>
          <cell r="F460">
            <v>0</v>
          </cell>
          <cell r="H460">
            <v>0</v>
          </cell>
          <cell r="I460" t="e">
            <v>#DIV/0!</v>
          </cell>
          <cell r="J460">
            <v>0</v>
          </cell>
          <cell r="M460" t="e">
            <v>#N/A</v>
          </cell>
        </row>
        <row r="461">
          <cell r="A461">
            <v>9</v>
          </cell>
          <cell r="B461">
            <v>0</v>
          </cell>
          <cell r="C461" t="str">
            <v>руб</v>
          </cell>
          <cell r="E461">
            <v>0</v>
          </cell>
          <cell r="F461">
            <v>0</v>
          </cell>
          <cell r="H461">
            <v>0</v>
          </cell>
          <cell r="I461" t="e">
            <v>#DIV/0!</v>
          </cell>
          <cell r="J461">
            <v>0</v>
          </cell>
          <cell r="M461" t="e">
            <v>#N/A</v>
          </cell>
        </row>
        <row r="462">
          <cell r="A462">
            <v>10</v>
          </cell>
          <cell r="B462">
            <v>0</v>
          </cell>
          <cell r="C462" t="str">
            <v>руб</v>
          </cell>
          <cell r="E462">
            <v>0</v>
          </cell>
          <cell r="F462">
            <v>0</v>
          </cell>
          <cell r="H462">
            <v>0</v>
          </cell>
          <cell r="I462" t="e">
            <v>#DIV/0!</v>
          </cell>
          <cell r="J462">
            <v>0</v>
          </cell>
          <cell r="M462" t="e">
            <v>#N/A</v>
          </cell>
        </row>
        <row r="463">
          <cell r="M463" t="e">
            <v>#N/A</v>
          </cell>
        </row>
        <row r="464">
          <cell r="M464" t="e">
            <v>#N/A</v>
          </cell>
        </row>
        <row r="465">
          <cell r="B465" t="str">
            <v>Составил:______________________________</v>
          </cell>
          <cell r="M465" t="e">
            <v>#N/A</v>
          </cell>
        </row>
        <row r="466">
          <cell r="M466" t="e">
            <v>#N/A</v>
          </cell>
        </row>
        <row r="467">
          <cell r="B467" t="str">
            <v>Начальник ТДО: ________________________</v>
          </cell>
        </row>
        <row r="468">
          <cell r="B468" t="str">
            <v>Район: Анапский \ Подъезд к п.Витязево 0+000-3+066  \ Поверхностная обработка (II вариант)</v>
          </cell>
          <cell r="K468">
            <v>9</v>
          </cell>
          <cell r="M468" t="str">
            <v>Анапский</v>
          </cell>
        </row>
        <row r="469">
          <cell r="A469" t="str">
            <v>9-1.1.</v>
          </cell>
          <cell r="B469" t="str">
            <v>Фонд заработной платы</v>
          </cell>
          <cell r="D469">
            <v>12097</v>
          </cell>
          <cell r="F469">
            <v>8248</v>
          </cell>
          <cell r="H469">
            <v>163136.69400000002</v>
          </cell>
          <cell r="I469">
            <v>19.778939621726483</v>
          </cell>
          <cell r="J469">
            <v>154888.69400000002</v>
          </cell>
          <cell r="K469">
            <v>9</v>
          </cell>
          <cell r="L469" t="str">
            <v>1.1.</v>
          </cell>
          <cell r="M469" t="str">
            <v>Анапский</v>
          </cell>
        </row>
        <row r="470">
          <cell r="A470" t="str">
            <v>9-1.1.1.</v>
          </cell>
          <cell r="B470" t="str">
            <v>Основные рабочие</v>
          </cell>
          <cell r="C470" t="str">
            <v>ч/ч</v>
          </cell>
          <cell r="D470">
            <v>7484</v>
          </cell>
          <cell r="E470">
            <v>0.55104222340994125</v>
          </cell>
          <cell r="F470">
            <v>4124</v>
          </cell>
          <cell r="G470">
            <v>12.201000000000002</v>
          </cell>
          <cell r="H470">
            <v>91312.284000000014</v>
          </cell>
          <cell r="I470">
            <v>22.141678952473331</v>
          </cell>
          <cell r="J470">
            <v>87188.284000000014</v>
          </cell>
          <cell r="K470">
            <v>9</v>
          </cell>
          <cell r="L470" t="str">
            <v>1.1.1.</v>
          </cell>
          <cell r="M470" t="str">
            <v>Анапский</v>
          </cell>
        </row>
        <row r="471">
          <cell r="A471" t="str">
            <v>9-1.1.2.</v>
          </cell>
          <cell r="B471" t="str">
            <v>Машинисты</v>
          </cell>
          <cell r="C471" t="str">
            <v>ч/ч</v>
          </cell>
          <cell r="D471">
            <v>4613</v>
          </cell>
          <cell r="E471">
            <v>0.89399523086928245</v>
          </cell>
          <cell r="F471">
            <v>4124</v>
          </cell>
          <cell r="G471">
            <v>15.57</v>
          </cell>
          <cell r="H471">
            <v>71824.41</v>
          </cell>
          <cell r="I471">
            <v>17.416200290979631</v>
          </cell>
          <cell r="J471">
            <v>67700.41</v>
          </cell>
          <cell r="K471">
            <v>9</v>
          </cell>
          <cell r="L471" t="str">
            <v>1.1.2.</v>
          </cell>
          <cell r="M471" t="str">
            <v>Анапский</v>
          </cell>
        </row>
        <row r="472">
          <cell r="M472" t="str">
            <v>Анапский</v>
          </cell>
        </row>
        <row r="473">
          <cell r="A473" t="str">
            <v>9-1.2.</v>
          </cell>
          <cell r="B473" t="str">
            <v>Технические ресурсы по нормам СНиП (без зарботной платы машиниста)</v>
          </cell>
          <cell r="F473">
            <v>256.8</v>
          </cell>
          <cell r="H473">
            <v>14000</v>
          </cell>
          <cell r="I473">
            <v>54.517133956386289</v>
          </cell>
          <cell r="J473">
            <v>13743.2</v>
          </cell>
          <cell r="K473">
            <v>9</v>
          </cell>
          <cell r="L473" t="str">
            <v>1.2.</v>
          </cell>
          <cell r="M473" t="str">
            <v>Анапский</v>
          </cell>
        </row>
        <row r="474">
          <cell r="A474">
            <v>1</v>
          </cell>
          <cell r="B474" t="str">
            <v>Автогрейдер средний</v>
          </cell>
          <cell r="C474" t="str">
            <v>м/ч</v>
          </cell>
          <cell r="D474">
            <v>100</v>
          </cell>
          <cell r="E474">
            <v>2.5680000000000001</v>
          </cell>
          <cell r="F474">
            <v>256.8</v>
          </cell>
          <cell r="G474">
            <v>140</v>
          </cell>
          <cell r="H474">
            <v>14000</v>
          </cell>
          <cell r="I474">
            <v>54.517133956386289</v>
          </cell>
          <cell r="J474">
            <v>13743.2</v>
          </cell>
          <cell r="M474" t="str">
            <v>Анапский</v>
          </cell>
        </row>
        <row r="475">
          <cell r="A475">
            <v>2</v>
          </cell>
          <cell r="B475" t="str">
            <v>Бульдозер</v>
          </cell>
          <cell r="C475" t="str">
            <v>м/ч</v>
          </cell>
          <cell r="D475">
            <v>1</v>
          </cell>
          <cell r="F475">
            <v>0</v>
          </cell>
          <cell r="H475">
            <v>0</v>
          </cell>
          <cell r="I475" t="e">
            <v>#DIV/0!</v>
          </cell>
          <cell r="J475">
            <v>0</v>
          </cell>
          <cell r="M475" t="str">
            <v>Анапский</v>
          </cell>
        </row>
        <row r="476">
          <cell r="A476">
            <v>3</v>
          </cell>
          <cell r="C476" t="str">
            <v>м/ч</v>
          </cell>
          <cell r="D476">
            <v>1</v>
          </cell>
          <cell r="F476">
            <v>0</v>
          </cell>
          <cell r="H476">
            <v>0</v>
          </cell>
          <cell r="I476" t="e">
            <v>#DIV/0!</v>
          </cell>
          <cell r="J476">
            <v>0</v>
          </cell>
          <cell r="M476" t="str">
            <v>Анапский</v>
          </cell>
        </row>
        <row r="477">
          <cell r="A477">
            <v>4</v>
          </cell>
          <cell r="C477" t="str">
            <v>м/ч</v>
          </cell>
          <cell r="F477">
            <v>0</v>
          </cell>
          <cell r="H477">
            <v>0</v>
          </cell>
          <cell r="I477" t="e">
            <v>#DIV/0!</v>
          </cell>
          <cell r="J477">
            <v>0</v>
          </cell>
          <cell r="M477" t="str">
            <v>Анапский</v>
          </cell>
        </row>
        <row r="478">
          <cell r="A478">
            <v>5</v>
          </cell>
          <cell r="C478" t="str">
            <v>м/ч</v>
          </cell>
          <cell r="F478">
            <v>0</v>
          </cell>
          <cell r="H478">
            <v>0</v>
          </cell>
          <cell r="I478" t="e">
            <v>#DIV/0!</v>
          </cell>
          <cell r="J478">
            <v>0</v>
          </cell>
          <cell r="M478" t="str">
            <v>Анапский</v>
          </cell>
        </row>
        <row r="479">
          <cell r="A479">
            <v>6</v>
          </cell>
          <cell r="C479" t="str">
            <v>м/ч</v>
          </cell>
          <cell r="F479">
            <v>0</v>
          </cell>
          <cell r="H479">
            <v>0</v>
          </cell>
          <cell r="I479" t="e">
            <v>#DIV/0!</v>
          </cell>
          <cell r="J479">
            <v>0</v>
          </cell>
          <cell r="M479" t="str">
            <v>Анапский</v>
          </cell>
        </row>
        <row r="480">
          <cell r="A480">
            <v>7</v>
          </cell>
          <cell r="C480" t="str">
            <v>м/ч</v>
          </cell>
          <cell r="F480">
            <v>0</v>
          </cell>
          <cell r="H480">
            <v>0</v>
          </cell>
          <cell r="I480" t="e">
            <v>#DIV/0!</v>
          </cell>
          <cell r="J480">
            <v>0</v>
          </cell>
          <cell r="M480" t="str">
            <v>Анапский</v>
          </cell>
        </row>
        <row r="481">
          <cell r="A481">
            <v>8</v>
          </cell>
          <cell r="C481" t="str">
            <v>м/ч</v>
          </cell>
          <cell r="F481">
            <v>0</v>
          </cell>
          <cell r="H481">
            <v>0</v>
          </cell>
          <cell r="I481" t="e">
            <v>#DIV/0!</v>
          </cell>
          <cell r="J481">
            <v>0</v>
          </cell>
          <cell r="M481" t="str">
            <v>Анапский</v>
          </cell>
        </row>
        <row r="482">
          <cell r="A482">
            <v>9</v>
          </cell>
          <cell r="C482" t="str">
            <v>м/ч</v>
          </cell>
          <cell r="F482">
            <v>0</v>
          </cell>
          <cell r="H482">
            <v>0</v>
          </cell>
          <cell r="I482" t="e">
            <v>#DIV/0!</v>
          </cell>
          <cell r="J482">
            <v>0</v>
          </cell>
          <cell r="M482" t="str">
            <v>Анапский</v>
          </cell>
        </row>
        <row r="483">
          <cell r="A483">
            <v>10</v>
          </cell>
          <cell r="C483" t="str">
            <v>м/ч</v>
          </cell>
          <cell r="F483">
            <v>0</v>
          </cell>
          <cell r="H483">
            <v>0</v>
          </cell>
          <cell r="I483" t="e">
            <v>#DIV/0!</v>
          </cell>
          <cell r="J483">
            <v>0</v>
          </cell>
          <cell r="M483" t="str">
            <v>Анапский</v>
          </cell>
        </row>
        <row r="484">
          <cell r="M484" t="str">
            <v>Анапский</v>
          </cell>
        </row>
        <row r="485">
          <cell r="A485" t="str">
            <v>9-1.3.</v>
          </cell>
          <cell r="B485" t="str">
            <v>Материалы</v>
          </cell>
          <cell r="F485">
            <v>1246.44</v>
          </cell>
          <cell r="H485">
            <v>24440</v>
          </cell>
          <cell r="I485">
            <v>19.6078431372549</v>
          </cell>
          <cell r="J485">
            <v>23193.56</v>
          </cell>
          <cell r="K485">
            <v>9</v>
          </cell>
          <cell r="L485" t="str">
            <v>1.3.</v>
          </cell>
          <cell r="M485" t="str">
            <v>Анапский</v>
          </cell>
        </row>
        <row r="486">
          <cell r="B486" t="str">
            <v>Материальные ресурсы по нормам СНиП</v>
          </cell>
          <cell r="F486">
            <v>0</v>
          </cell>
          <cell r="H486">
            <v>0</v>
          </cell>
          <cell r="I486" t="e">
            <v>#DIV/0!</v>
          </cell>
          <cell r="J486">
            <v>0</v>
          </cell>
          <cell r="M486" t="str">
            <v>Анапский</v>
          </cell>
        </row>
        <row r="487">
          <cell r="A487">
            <v>1</v>
          </cell>
          <cell r="C487" t="str">
            <v>м3</v>
          </cell>
          <cell r="F487">
            <v>0</v>
          </cell>
          <cell r="H487">
            <v>0</v>
          </cell>
          <cell r="I487" t="e">
            <v>#DIV/0!</v>
          </cell>
          <cell r="J487">
            <v>0</v>
          </cell>
          <cell r="M487" t="str">
            <v>Анапский</v>
          </cell>
        </row>
        <row r="488">
          <cell r="A488">
            <v>2</v>
          </cell>
          <cell r="F488">
            <v>0</v>
          </cell>
          <cell r="H488">
            <v>0</v>
          </cell>
          <cell r="I488" t="e">
            <v>#DIV/0!</v>
          </cell>
          <cell r="J488">
            <v>0</v>
          </cell>
          <cell r="M488" t="str">
            <v>Анапский</v>
          </cell>
        </row>
        <row r="489">
          <cell r="A489">
            <v>3</v>
          </cell>
          <cell r="F489">
            <v>0</v>
          </cell>
          <cell r="H489">
            <v>0</v>
          </cell>
          <cell r="I489" t="e">
            <v>#DIV/0!</v>
          </cell>
          <cell r="J489">
            <v>0</v>
          </cell>
          <cell r="M489" t="str">
            <v>Анапский</v>
          </cell>
        </row>
        <row r="490">
          <cell r="A490">
            <v>4</v>
          </cell>
          <cell r="F490">
            <v>0</v>
          </cell>
          <cell r="H490">
            <v>0</v>
          </cell>
          <cell r="I490" t="e">
            <v>#DIV/0!</v>
          </cell>
          <cell r="J490">
            <v>0</v>
          </cell>
          <cell r="M490" t="str">
            <v>Анапский</v>
          </cell>
        </row>
        <row r="491">
          <cell r="A491">
            <v>5</v>
          </cell>
          <cell r="F491">
            <v>0</v>
          </cell>
          <cell r="H491">
            <v>0</v>
          </cell>
          <cell r="I491" t="e">
            <v>#DIV/0!</v>
          </cell>
          <cell r="J491">
            <v>0</v>
          </cell>
          <cell r="M491" t="str">
            <v>Анапский</v>
          </cell>
        </row>
        <row r="492">
          <cell r="A492">
            <v>6</v>
          </cell>
          <cell r="F492">
            <v>0</v>
          </cell>
          <cell r="H492">
            <v>0</v>
          </cell>
          <cell r="I492" t="e">
            <v>#DIV/0!</v>
          </cell>
          <cell r="J492">
            <v>0</v>
          </cell>
          <cell r="M492" t="str">
            <v>Анапский</v>
          </cell>
        </row>
        <row r="493">
          <cell r="A493">
            <v>7</v>
          </cell>
          <cell r="F493">
            <v>0</v>
          </cell>
          <cell r="H493">
            <v>0</v>
          </cell>
          <cell r="I493" t="e">
            <v>#DIV/0!</v>
          </cell>
          <cell r="J493">
            <v>0</v>
          </cell>
          <cell r="M493" t="str">
            <v>Анапский</v>
          </cell>
        </row>
        <row r="494">
          <cell r="A494">
            <v>8</v>
          </cell>
          <cell r="F494">
            <v>0</v>
          </cell>
          <cell r="H494">
            <v>0</v>
          </cell>
          <cell r="I494" t="e">
            <v>#DIV/0!</v>
          </cell>
          <cell r="J494">
            <v>0</v>
          </cell>
          <cell r="M494" t="str">
            <v>Анапский</v>
          </cell>
        </row>
        <row r="495">
          <cell r="A495">
            <v>9</v>
          </cell>
          <cell r="F495">
            <v>0</v>
          </cell>
          <cell r="H495">
            <v>0</v>
          </cell>
          <cell r="I495" t="e">
            <v>#DIV/0!</v>
          </cell>
          <cell r="J495">
            <v>0</v>
          </cell>
          <cell r="M495" t="str">
            <v>Анапский</v>
          </cell>
        </row>
        <row r="496">
          <cell r="A496">
            <v>10</v>
          </cell>
          <cell r="F496">
            <v>0</v>
          </cell>
          <cell r="H496">
            <v>0</v>
          </cell>
          <cell r="I496" t="e">
            <v>#DIV/0!</v>
          </cell>
          <cell r="J496">
            <v>0</v>
          </cell>
          <cell r="M496" t="str">
            <v>Анапский</v>
          </cell>
        </row>
        <row r="497">
          <cell r="M497" t="str">
            <v>Анапский</v>
          </cell>
        </row>
        <row r="498">
          <cell r="B498" t="str">
            <v>Транспортировка материалов, т (вид транспорта, км)</v>
          </cell>
          <cell r="F498">
            <v>1222</v>
          </cell>
          <cell r="H498">
            <v>24440</v>
          </cell>
          <cell r="I498">
            <v>20</v>
          </cell>
          <cell r="J498">
            <v>23218</v>
          </cell>
          <cell r="M498" t="str">
            <v>Анапский</v>
          </cell>
        </row>
        <row r="499">
          <cell r="A499">
            <v>1</v>
          </cell>
          <cell r="C499" t="str">
            <v>т</v>
          </cell>
          <cell r="D499">
            <v>1222</v>
          </cell>
          <cell r="E499">
            <v>1</v>
          </cell>
          <cell r="F499">
            <v>1222</v>
          </cell>
          <cell r="G499">
            <v>20</v>
          </cell>
          <cell r="H499">
            <v>24440</v>
          </cell>
          <cell r="I499">
            <v>20</v>
          </cell>
          <cell r="J499">
            <v>23218</v>
          </cell>
          <cell r="M499" t="str">
            <v>Анапский</v>
          </cell>
        </row>
        <row r="500">
          <cell r="A500">
            <v>2</v>
          </cell>
          <cell r="C500" t="str">
            <v>т</v>
          </cell>
          <cell r="F500">
            <v>0</v>
          </cell>
          <cell r="H500">
            <v>0</v>
          </cell>
          <cell r="I500" t="e">
            <v>#DIV/0!</v>
          </cell>
          <cell r="J500">
            <v>0</v>
          </cell>
          <cell r="M500" t="str">
            <v>Анапский</v>
          </cell>
        </row>
        <row r="501">
          <cell r="A501">
            <v>3</v>
          </cell>
          <cell r="C501" t="str">
            <v>т</v>
          </cell>
          <cell r="F501">
            <v>0</v>
          </cell>
          <cell r="H501">
            <v>0</v>
          </cell>
          <cell r="I501" t="e">
            <v>#DIV/0!</v>
          </cell>
          <cell r="J501">
            <v>0</v>
          </cell>
          <cell r="M501" t="str">
            <v>Анапский</v>
          </cell>
        </row>
        <row r="502">
          <cell r="A502">
            <v>4</v>
          </cell>
          <cell r="C502" t="str">
            <v>т</v>
          </cell>
          <cell r="F502">
            <v>0</v>
          </cell>
          <cell r="H502">
            <v>0</v>
          </cell>
          <cell r="I502" t="e">
            <v>#DIV/0!</v>
          </cell>
          <cell r="J502">
            <v>0</v>
          </cell>
          <cell r="M502" t="str">
            <v>Анапский</v>
          </cell>
        </row>
        <row r="503">
          <cell r="A503">
            <v>5</v>
          </cell>
          <cell r="C503" t="str">
            <v>т</v>
          </cell>
          <cell r="F503">
            <v>0</v>
          </cell>
          <cell r="H503">
            <v>0</v>
          </cell>
          <cell r="I503" t="e">
            <v>#DIV/0!</v>
          </cell>
          <cell r="J503">
            <v>0</v>
          </cell>
          <cell r="M503" t="str">
            <v>Анапский</v>
          </cell>
        </row>
        <row r="504">
          <cell r="A504">
            <v>6</v>
          </cell>
          <cell r="C504" t="str">
            <v>т</v>
          </cell>
          <cell r="F504">
            <v>0</v>
          </cell>
          <cell r="H504">
            <v>0</v>
          </cell>
          <cell r="I504" t="e">
            <v>#DIV/0!</v>
          </cell>
          <cell r="J504">
            <v>0</v>
          </cell>
          <cell r="M504" t="str">
            <v>Анапский</v>
          </cell>
        </row>
        <row r="505">
          <cell r="A505">
            <v>7</v>
          </cell>
          <cell r="C505" t="str">
            <v>т</v>
          </cell>
          <cell r="F505">
            <v>0</v>
          </cell>
          <cell r="H505">
            <v>0</v>
          </cell>
          <cell r="I505" t="e">
            <v>#DIV/0!</v>
          </cell>
          <cell r="J505">
            <v>0</v>
          </cell>
          <cell r="M505" t="str">
            <v>Анапский</v>
          </cell>
        </row>
        <row r="506">
          <cell r="A506">
            <v>8</v>
          </cell>
          <cell r="C506" t="str">
            <v>т</v>
          </cell>
          <cell r="F506">
            <v>0</v>
          </cell>
          <cell r="H506">
            <v>0</v>
          </cell>
          <cell r="I506" t="e">
            <v>#DIV/0!</v>
          </cell>
          <cell r="J506">
            <v>0</v>
          </cell>
          <cell r="M506" t="str">
            <v>Анапский</v>
          </cell>
        </row>
        <row r="507">
          <cell r="A507">
            <v>9</v>
          </cell>
          <cell r="C507" t="str">
            <v>т</v>
          </cell>
          <cell r="F507">
            <v>0</v>
          </cell>
          <cell r="H507">
            <v>0</v>
          </cell>
          <cell r="I507" t="e">
            <v>#DIV/0!</v>
          </cell>
          <cell r="J507">
            <v>0</v>
          </cell>
          <cell r="M507" t="str">
            <v>Анапский</v>
          </cell>
        </row>
        <row r="508">
          <cell r="A508">
            <v>10</v>
          </cell>
          <cell r="C508" t="str">
            <v>т</v>
          </cell>
          <cell r="F508">
            <v>0</v>
          </cell>
          <cell r="H508">
            <v>0</v>
          </cell>
          <cell r="I508" t="e">
            <v>#DIV/0!</v>
          </cell>
          <cell r="J508">
            <v>0</v>
          </cell>
          <cell r="M508" t="str">
            <v>Анапский</v>
          </cell>
        </row>
        <row r="509">
          <cell r="M509" t="str">
            <v>Анапский</v>
          </cell>
        </row>
        <row r="510">
          <cell r="B510" t="str">
            <v>Заготовительно-складские расходы</v>
          </cell>
          <cell r="F510">
            <v>24.44</v>
          </cell>
          <cell r="H510">
            <v>0</v>
          </cell>
          <cell r="I510">
            <v>0</v>
          </cell>
          <cell r="J510">
            <v>-24.44</v>
          </cell>
          <cell r="M510" t="str">
            <v>Анапский</v>
          </cell>
        </row>
        <row r="511">
          <cell r="A511">
            <v>1</v>
          </cell>
          <cell r="B511">
            <v>0</v>
          </cell>
          <cell r="C511" t="str">
            <v>руб</v>
          </cell>
          <cell r="D511">
            <v>0.02</v>
          </cell>
          <cell r="E511">
            <v>1222</v>
          </cell>
          <cell r="F511">
            <v>24.44</v>
          </cell>
          <cell r="H511">
            <v>0</v>
          </cell>
          <cell r="I511">
            <v>0</v>
          </cell>
          <cell r="J511">
            <v>-24.44</v>
          </cell>
          <cell r="M511" t="str">
            <v>Анапский</v>
          </cell>
        </row>
        <row r="512">
          <cell r="A512">
            <v>2</v>
          </cell>
          <cell r="B512">
            <v>0</v>
          </cell>
          <cell r="C512" t="str">
            <v>руб</v>
          </cell>
          <cell r="E512">
            <v>0</v>
          </cell>
          <cell r="F512">
            <v>0</v>
          </cell>
          <cell r="H512">
            <v>0</v>
          </cell>
          <cell r="I512" t="e">
            <v>#DIV/0!</v>
          </cell>
          <cell r="J512">
            <v>0</v>
          </cell>
          <cell r="M512" t="str">
            <v>Анапский</v>
          </cell>
        </row>
        <row r="513">
          <cell r="A513">
            <v>3</v>
          </cell>
          <cell r="B513">
            <v>0</v>
          </cell>
          <cell r="C513" t="str">
            <v>руб</v>
          </cell>
          <cell r="E513">
            <v>0</v>
          </cell>
          <cell r="F513">
            <v>0</v>
          </cell>
          <cell r="H513">
            <v>0</v>
          </cell>
          <cell r="I513" t="e">
            <v>#DIV/0!</v>
          </cell>
          <cell r="J513">
            <v>0</v>
          </cell>
          <cell r="M513" t="str">
            <v>Анапский</v>
          </cell>
        </row>
        <row r="514">
          <cell r="A514">
            <v>4</v>
          </cell>
          <cell r="B514">
            <v>0</v>
          </cell>
          <cell r="C514" t="str">
            <v>руб</v>
          </cell>
          <cell r="E514">
            <v>0</v>
          </cell>
          <cell r="F514">
            <v>0</v>
          </cell>
          <cell r="H514">
            <v>0</v>
          </cell>
          <cell r="I514" t="e">
            <v>#DIV/0!</v>
          </cell>
          <cell r="J514">
            <v>0</v>
          </cell>
          <cell r="M514" t="str">
            <v>Анапский</v>
          </cell>
        </row>
        <row r="515">
          <cell r="A515">
            <v>5</v>
          </cell>
          <cell r="B515">
            <v>0</v>
          </cell>
          <cell r="C515" t="str">
            <v>руб</v>
          </cell>
          <cell r="E515">
            <v>0</v>
          </cell>
          <cell r="F515">
            <v>0</v>
          </cell>
          <cell r="H515">
            <v>0</v>
          </cell>
          <cell r="I515" t="e">
            <v>#DIV/0!</v>
          </cell>
          <cell r="J515">
            <v>0</v>
          </cell>
          <cell r="M515" t="str">
            <v>Анапский</v>
          </cell>
        </row>
        <row r="516">
          <cell r="A516">
            <v>6</v>
          </cell>
          <cell r="B516">
            <v>0</v>
          </cell>
          <cell r="C516" t="str">
            <v>руб</v>
          </cell>
          <cell r="E516">
            <v>0</v>
          </cell>
          <cell r="F516">
            <v>0</v>
          </cell>
          <cell r="H516">
            <v>0</v>
          </cell>
          <cell r="I516" t="e">
            <v>#DIV/0!</v>
          </cell>
          <cell r="J516">
            <v>0</v>
          </cell>
          <cell r="M516" t="str">
            <v>Анапский</v>
          </cell>
        </row>
        <row r="517">
          <cell r="A517">
            <v>7</v>
          </cell>
          <cell r="B517">
            <v>0</v>
          </cell>
          <cell r="C517" t="str">
            <v>руб</v>
          </cell>
          <cell r="E517">
            <v>0</v>
          </cell>
          <cell r="F517">
            <v>0</v>
          </cell>
          <cell r="H517">
            <v>0</v>
          </cell>
          <cell r="I517" t="e">
            <v>#DIV/0!</v>
          </cell>
          <cell r="J517">
            <v>0</v>
          </cell>
          <cell r="M517" t="str">
            <v>Анапский</v>
          </cell>
        </row>
        <row r="518">
          <cell r="A518">
            <v>8</v>
          </cell>
          <cell r="B518">
            <v>0</v>
          </cell>
          <cell r="C518" t="str">
            <v>руб</v>
          </cell>
          <cell r="E518">
            <v>0</v>
          </cell>
          <cell r="F518">
            <v>0</v>
          </cell>
          <cell r="H518">
            <v>0</v>
          </cell>
          <cell r="I518" t="e">
            <v>#DIV/0!</v>
          </cell>
          <cell r="J518">
            <v>0</v>
          </cell>
          <cell r="M518" t="str">
            <v>Анапский</v>
          </cell>
        </row>
        <row r="519">
          <cell r="A519">
            <v>9</v>
          </cell>
          <cell r="B519">
            <v>0</v>
          </cell>
          <cell r="C519" t="str">
            <v>руб</v>
          </cell>
          <cell r="E519">
            <v>0</v>
          </cell>
          <cell r="F519">
            <v>0</v>
          </cell>
          <cell r="H519">
            <v>0</v>
          </cell>
          <cell r="I519" t="e">
            <v>#DIV/0!</v>
          </cell>
          <cell r="J519">
            <v>0</v>
          </cell>
          <cell r="M519" t="str">
            <v>Анапский</v>
          </cell>
        </row>
        <row r="520">
          <cell r="A520">
            <v>10</v>
          </cell>
          <cell r="B520">
            <v>0</v>
          </cell>
          <cell r="C520" t="str">
            <v>руб</v>
          </cell>
          <cell r="E520">
            <v>0</v>
          </cell>
          <cell r="F520">
            <v>0</v>
          </cell>
          <cell r="H520">
            <v>0</v>
          </cell>
          <cell r="I520" t="e">
            <v>#DIV/0!</v>
          </cell>
          <cell r="J520">
            <v>0</v>
          </cell>
          <cell r="M520" t="str">
            <v>Анапский</v>
          </cell>
        </row>
        <row r="521">
          <cell r="M521" t="str">
            <v>Анапский</v>
          </cell>
        </row>
        <row r="522">
          <cell r="M522" t="str">
            <v>Анапский</v>
          </cell>
        </row>
        <row r="523">
          <cell r="B523" t="str">
            <v>Составил:______________________________</v>
          </cell>
          <cell r="M523" t="str">
            <v>Анапский</v>
          </cell>
        </row>
        <row r="524">
          <cell r="M524" t="str">
            <v>Анапский</v>
          </cell>
        </row>
        <row r="525">
          <cell r="B525" t="str">
            <v>Начальник ТДО: ________________________</v>
          </cell>
        </row>
        <row r="526">
          <cell r="B526" t="str">
            <v>Район: Анапский \ Подъезд  к х. Цибанобалка  км 0+000-2+081 \ Поверхностная обработка (II вариант)</v>
          </cell>
          <cell r="K526">
            <v>10</v>
          </cell>
          <cell r="M526" t="str">
            <v>Анапский</v>
          </cell>
        </row>
        <row r="527">
          <cell r="A527" t="str">
            <v>10-1.1.</v>
          </cell>
          <cell r="B527" t="str">
            <v>Фонд заработной платы</v>
          </cell>
          <cell r="D527">
            <v>12097</v>
          </cell>
          <cell r="F527">
            <v>8248</v>
          </cell>
          <cell r="H527">
            <v>163136.69400000002</v>
          </cell>
          <cell r="I527">
            <v>19.778939621726483</v>
          </cell>
          <cell r="J527">
            <v>154888.69400000002</v>
          </cell>
          <cell r="K527">
            <v>10</v>
          </cell>
          <cell r="L527" t="str">
            <v>1.1.</v>
          </cell>
          <cell r="M527" t="str">
            <v>Анапский</v>
          </cell>
        </row>
        <row r="528">
          <cell r="A528" t="str">
            <v>10-1.1.1.</v>
          </cell>
          <cell r="B528" t="str">
            <v>Основные рабочие</v>
          </cell>
          <cell r="C528" t="str">
            <v>ч/ч</v>
          </cell>
          <cell r="D528">
            <v>7484</v>
          </cell>
          <cell r="E528">
            <v>0.55104222340994125</v>
          </cell>
          <cell r="F528">
            <v>4124</v>
          </cell>
          <cell r="G528">
            <v>12.201000000000002</v>
          </cell>
          <cell r="H528">
            <v>91312.284000000014</v>
          </cell>
          <cell r="I528">
            <v>22.141678952473331</v>
          </cell>
          <cell r="J528">
            <v>87188.284000000014</v>
          </cell>
          <cell r="K528">
            <v>10</v>
          </cell>
          <cell r="L528" t="str">
            <v>1.1.1.</v>
          </cell>
          <cell r="M528" t="str">
            <v>Анапский</v>
          </cell>
        </row>
        <row r="529">
          <cell r="A529" t="str">
            <v>10-1.1.2.</v>
          </cell>
          <cell r="B529" t="str">
            <v>Машинисты</v>
          </cell>
          <cell r="C529" t="str">
            <v>ч/ч</v>
          </cell>
          <cell r="D529">
            <v>4613</v>
          </cell>
          <cell r="E529">
            <v>0.89399523086928245</v>
          </cell>
          <cell r="F529">
            <v>4124</v>
          </cell>
          <cell r="G529">
            <v>15.57</v>
          </cell>
          <cell r="H529">
            <v>71824.41</v>
          </cell>
          <cell r="I529">
            <v>17.416200290979631</v>
          </cell>
          <cell r="J529">
            <v>67700.41</v>
          </cell>
          <cell r="K529">
            <v>10</v>
          </cell>
          <cell r="L529" t="str">
            <v>1.1.2.</v>
          </cell>
          <cell r="M529" t="str">
            <v>Анапский</v>
          </cell>
        </row>
        <row r="530">
          <cell r="M530" t="str">
            <v>Анапский</v>
          </cell>
        </row>
        <row r="531">
          <cell r="A531" t="str">
            <v>10-1.2.</v>
          </cell>
          <cell r="B531" t="str">
            <v>Технические ресурсы по нормам СНиП (без зарботной платы машиниста)</v>
          </cell>
          <cell r="F531">
            <v>256.8</v>
          </cell>
          <cell r="H531">
            <v>14000</v>
          </cell>
          <cell r="I531">
            <v>54.517133956386289</v>
          </cell>
          <cell r="J531">
            <v>13743.2</v>
          </cell>
          <cell r="K531">
            <v>10</v>
          </cell>
          <cell r="L531" t="str">
            <v>1.2.</v>
          </cell>
          <cell r="M531" t="str">
            <v>Анапский</v>
          </cell>
        </row>
        <row r="532">
          <cell r="A532">
            <v>1</v>
          </cell>
          <cell r="B532" t="str">
            <v>Автогрейдер средний</v>
          </cell>
          <cell r="C532" t="str">
            <v>м/ч</v>
          </cell>
          <cell r="D532">
            <v>100</v>
          </cell>
          <cell r="E532">
            <v>2.5680000000000001</v>
          </cell>
          <cell r="F532">
            <v>256.8</v>
          </cell>
          <cell r="G532">
            <v>140</v>
          </cell>
          <cell r="H532">
            <v>14000</v>
          </cell>
          <cell r="I532">
            <v>54.517133956386289</v>
          </cell>
          <cell r="J532">
            <v>13743.2</v>
          </cell>
          <cell r="M532" t="str">
            <v>Анапский</v>
          </cell>
        </row>
        <row r="533">
          <cell r="A533">
            <v>2</v>
          </cell>
          <cell r="B533" t="str">
            <v>Бульдозер</v>
          </cell>
          <cell r="C533" t="str">
            <v>м/ч</v>
          </cell>
          <cell r="D533">
            <v>1</v>
          </cell>
          <cell r="F533">
            <v>0</v>
          </cell>
          <cell r="H533">
            <v>0</v>
          </cell>
          <cell r="I533" t="e">
            <v>#DIV/0!</v>
          </cell>
          <cell r="J533">
            <v>0</v>
          </cell>
          <cell r="M533" t="str">
            <v>Анапский</v>
          </cell>
        </row>
        <row r="534">
          <cell r="A534">
            <v>3</v>
          </cell>
          <cell r="C534" t="str">
            <v>м/ч</v>
          </cell>
          <cell r="D534">
            <v>1</v>
          </cell>
          <cell r="F534">
            <v>0</v>
          </cell>
          <cell r="H534">
            <v>0</v>
          </cell>
          <cell r="I534" t="e">
            <v>#DIV/0!</v>
          </cell>
          <cell r="J534">
            <v>0</v>
          </cell>
          <cell r="M534" t="str">
            <v>Анапский</v>
          </cell>
        </row>
        <row r="535">
          <cell r="A535">
            <v>4</v>
          </cell>
          <cell r="C535" t="str">
            <v>м/ч</v>
          </cell>
          <cell r="F535">
            <v>0</v>
          </cell>
          <cell r="H535">
            <v>0</v>
          </cell>
          <cell r="I535" t="e">
            <v>#DIV/0!</v>
          </cell>
          <cell r="J535">
            <v>0</v>
          </cell>
          <cell r="M535" t="str">
            <v>Анапский</v>
          </cell>
        </row>
        <row r="536">
          <cell r="A536">
            <v>5</v>
          </cell>
          <cell r="C536" t="str">
            <v>м/ч</v>
          </cell>
          <cell r="F536">
            <v>0</v>
          </cell>
          <cell r="H536">
            <v>0</v>
          </cell>
          <cell r="I536" t="e">
            <v>#DIV/0!</v>
          </cell>
          <cell r="J536">
            <v>0</v>
          </cell>
          <cell r="M536" t="str">
            <v>Анапский</v>
          </cell>
        </row>
        <row r="537">
          <cell r="A537">
            <v>6</v>
          </cell>
          <cell r="C537" t="str">
            <v>м/ч</v>
          </cell>
          <cell r="F537">
            <v>0</v>
          </cell>
          <cell r="H537">
            <v>0</v>
          </cell>
          <cell r="I537" t="e">
            <v>#DIV/0!</v>
          </cell>
          <cell r="J537">
            <v>0</v>
          </cell>
          <cell r="M537" t="str">
            <v>Анапский</v>
          </cell>
        </row>
        <row r="538">
          <cell r="A538">
            <v>7</v>
          </cell>
          <cell r="C538" t="str">
            <v>м/ч</v>
          </cell>
          <cell r="F538">
            <v>0</v>
          </cell>
          <cell r="H538">
            <v>0</v>
          </cell>
          <cell r="I538" t="e">
            <v>#DIV/0!</v>
          </cell>
          <cell r="J538">
            <v>0</v>
          </cell>
          <cell r="M538" t="str">
            <v>Анапский</v>
          </cell>
        </row>
        <row r="539">
          <cell r="A539">
            <v>8</v>
          </cell>
          <cell r="C539" t="str">
            <v>м/ч</v>
          </cell>
          <cell r="F539">
            <v>0</v>
          </cell>
          <cell r="H539">
            <v>0</v>
          </cell>
          <cell r="I539" t="e">
            <v>#DIV/0!</v>
          </cell>
          <cell r="J539">
            <v>0</v>
          </cell>
          <cell r="M539" t="str">
            <v>Анапский</v>
          </cell>
        </row>
        <row r="540">
          <cell r="A540">
            <v>9</v>
          </cell>
          <cell r="C540" t="str">
            <v>м/ч</v>
          </cell>
          <cell r="F540">
            <v>0</v>
          </cell>
          <cell r="H540">
            <v>0</v>
          </cell>
          <cell r="I540" t="e">
            <v>#DIV/0!</v>
          </cell>
          <cell r="J540">
            <v>0</v>
          </cell>
          <cell r="M540" t="str">
            <v>Анапский</v>
          </cell>
        </row>
        <row r="541">
          <cell r="A541">
            <v>10</v>
          </cell>
          <cell r="C541" t="str">
            <v>м/ч</v>
          </cell>
          <cell r="F541">
            <v>0</v>
          </cell>
          <cell r="H541">
            <v>0</v>
          </cell>
          <cell r="I541" t="e">
            <v>#DIV/0!</v>
          </cell>
          <cell r="J541">
            <v>0</v>
          </cell>
          <cell r="M541" t="str">
            <v>Анапский</v>
          </cell>
        </row>
        <row r="542">
          <cell r="M542" t="str">
            <v>Анапский</v>
          </cell>
        </row>
        <row r="543">
          <cell r="A543" t="str">
            <v>10-1.3.</v>
          </cell>
          <cell r="B543" t="str">
            <v>Материалы</v>
          </cell>
          <cell r="F543">
            <v>1246.44</v>
          </cell>
          <cell r="H543">
            <v>24440</v>
          </cell>
          <cell r="I543">
            <v>19.6078431372549</v>
          </cell>
          <cell r="J543">
            <v>23193.56</v>
          </cell>
          <cell r="K543">
            <v>10</v>
          </cell>
          <cell r="L543" t="str">
            <v>1.3.</v>
          </cell>
          <cell r="M543" t="str">
            <v>Анапский</v>
          </cell>
        </row>
        <row r="544">
          <cell r="B544" t="str">
            <v>Материальные ресурсы по нормам СНиП</v>
          </cell>
          <cell r="F544">
            <v>0</v>
          </cell>
          <cell r="H544">
            <v>0</v>
          </cell>
          <cell r="I544" t="e">
            <v>#DIV/0!</v>
          </cell>
          <cell r="J544">
            <v>0</v>
          </cell>
          <cell r="M544" t="str">
            <v>Анапский</v>
          </cell>
        </row>
        <row r="545">
          <cell r="A545">
            <v>1</v>
          </cell>
          <cell r="C545" t="str">
            <v>м3</v>
          </cell>
          <cell r="F545">
            <v>0</v>
          </cell>
          <cell r="H545">
            <v>0</v>
          </cell>
          <cell r="I545" t="e">
            <v>#DIV/0!</v>
          </cell>
          <cell r="J545">
            <v>0</v>
          </cell>
          <cell r="M545" t="str">
            <v>Анапский</v>
          </cell>
        </row>
        <row r="546">
          <cell r="A546">
            <v>2</v>
          </cell>
          <cell r="F546">
            <v>0</v>
          </cell>
          <cell r="H546">
            <v>0</v>
          </cell>
          <cell r="I546" t="e">
            <v>#DIV/0!</v>
          </cell>
          <cell r="J546">
            <v>0</v>
          </cell>
          <cell r="M546" t="str">
            <v>Анапский</v>
          </cell>
        </row>
        <row r="547">
          <cell r="A547">
            <v>3</v>
          </cell>
          <cell r="F547">
            <v>0</v>
          </cell>
          <cell r="H547">
            <v>0</v>
          </cell>
          <cell r="I547" t="e">
            <v>#DIV/0!</v>
          </cell>
          <cell r="J547">
            <v>0</v>
          </cell>
          <cell r="M547" t="str">
            <v>Анапский</v>
          </cell>
        </row>
        <row r="548">
          <cell r="A548">
            <v>4</v>
          </cell>
          <cell r="F548">
            <v>0</v>
          </cell>
          <cell r="H548">
            <v>0</v>
          </cell>
          <cell r="I548" t="e">
            <v>#DIV/0!</v>
          </cell>
          <cell r="J548">
            <v>0</v>
          </cell>
          <cell r="M548" t="str">
            <v>Анапский</v>
          </cell>
        </row>
        <row r="549">
          <cell r="A549">
            <v>5</v>
          </cell>
          <cell r="F549">
            <v>0</v>
          </cell>
          <cell r="H549">
            <v>0</v>
          </cell>
          <cell r="I549" t="e">
            <v>#DIV/0!</v>
          </cell>
          <cell r="J549">
            <v>0</v>
          </cell>
          <cell r="M549" t="str">
            <v>Анапский</v>
          </cell>
        </row>
        <row r="550">
          <cell r="A550">
            <v>6</v>
          </cell>
          <cell r="F550">
            <v>0</v>
          </cell>
          <cell r="H550">
            <v>0</v>
          </cell>
          <cell r="I550" t="e">
            <v>#DIV/0!</v>
          </cell>
          <cell r="J550">
            <v>0</v>
          </cell>
          <cell r="M550" t="str">
            <v>Анапский</v>
          </cell>
        </row>
        <row r="551">
          <cell r="A551">
            <v>7</v>
          </cell>
          <cell r="F551">
            <v>0</v>
          </cell>
          <cell r="H551">
            <v>0</v>
          </cell>
          <cell r="I551" t="e">
            <v>#DIV/0!</v>
          </cell>
          <cell r="J551">
            <v>0</v>
          </cell>
          <cell r="M551" t="str">
            <v>Анапский</v>
          </cell>
        </row>
        <row r="552">
          <cell r="A552">
            <v>8</v>
          </cell>
          <cell r="F552">
            <v>0</v>
          </cell>
          <cell r="H552">
            <v>0</v>
          </cell>
          <cell r="I552" t="e">
            <v>#DIV/0!</v>
          </cell>
          <cell r="J552">
            <v>0</v>
          </cell>
          <cell r="M552" t="str">
            <v>Анапский</v>
          </cell>
        </row>
        <row r="553">
          <cell r="A553">
            <v>9</v>
          </cell>
          <cell r="F553">
            <v>0</v>
          </cell>
          <cell r="H553">
            <v>0</v>
          </cell>
          <cell r="I553" t="e">
            <v>#DIV/0!</v>
          </cell>
          <cell r="J553">
            <v>0</v>
          </cell>
          <cell r="M553" t="str">
            <v>Анапский</v>
          </cell>
        </row>
        <row r="554">
          <cell r="A554">
            <v>10</v>
          </cell>
          <cell r="F554">
            <v>0</v>
          </cell>
          <cell r="H554">
            <v>0</v>
          </cell>
          <cell r="I554" t="e">
            <v>#DIV/0!</v>
          </cell>
          <cell r="J554">
            <v>0</v>
          </cell>
          <cell r="M554" t="str">
            <v>Анапский</v>
          </cell>
        </row>
        <row r="555">
          <cell r="M555" t="str">
            <v>Анапский</v>
          </cell>
        </row>
        <row r="556">
          <cell r="B556" t="str">
            <v>Транспортировка материалов, т (вид транспорта, км)</v>
          </cell>
          <cell r="F556">
            <v>1222</v>
          </cell>
          <cell r="H556">
            <v>24440</v>
          </cell>
          <cell r="I556">
            <v>20</v>
          </cell>
          <cell r="J556">
            <v>23218</v>
          </cell>
          <cell r="M556" t="str">
            <v>Анапский</v>
          </cell>
        </row>
        <row r="557">
          <cell r="A557">
            <v>1</v>
          </cell>
          <cell r="C557" t="str">
            <v>т</v>
          </cell>
          <cell r="D557">
            <v>1222</v>
          </cell>
          <cell r="E557">
            <v>1</v>
          </cell>
          <cell r="F557">
            <v>1222</v>
          </cell>
          <cell r="G557">
            <v>20</v>
          </cell>
          <cell r="H557">
            <v>24440</v>
          </cell>
          <cell r="I557">
            <v>20</v>
          </cell>
          <cell r="J557">
            <v>23218</v>
          </cell>
          <cell r="M557" t="str">
            <v>Анапский</v>
          </cell>
        </row>
        <row r="558">
          <cell r="A558">
            <v>2</v>
          </cell>
          <cell r="C558" t="str">
            <v>т</v>
          </cell>
          <cell r="F558">
            <v>0</v>
          </cell>
          <cell r="H558">
            <v>0</v>
          </cell>
          <cell r="I558" t="e">
            <v>#DIV/0!</v>
          </cell>
          <cell r="J558">
            <v>0</v>
          </cell>
          <cell r="M558" t="str">
            <v>Анапский</v>
          </cell>
        </row>
        <row r="559">
          <cell r="A559">
            <v>3</v>
          </cell>
          <cell r="C559" t="str">
            <v>т</v>
          </cell>
          <cell r="F559">
            <v>0</v>
          </cell>
          <cell r="H559">
            <v>0</v>
          </cell>
          <cell r="I559" t="e">
            <v>#DIV/0!</v>
          </cell>
          <cell r="J559">
            <v>0</v>
          </cell>
          <cell r="M559" t="str">
            <v>Анапский</v>
          </cell>
        </row>
        <row r="560">
          <cell r="A560">
            <v>4</v>
          </cell>
          <cell r="C560" t="str">
            <v>т</v>
          </cell>
          <cell r="F560">
            <v>0</v>
          </cell>
          <cell r="H560">
            <v>0</v>
          </cell>
          <cell r="I560" t="e">
            <v>#DIV/0!</v>
          </cell>
          <cell r="J560">
            <v>0</v>
          </cell>
          <cell r="M560" t="str">
            <v>Анапский</v>
          </cell>
        </row>
        <row r="561">
          <cell r="A561">
            <v>5</v>
          </cell>
          <cell r="C561" t="str">
            <v>т</v>
          </cell>
          <cell r="F561">
            <v>0</v>
          </cell>
          <cell r="H561">
            <v>0</v>
          </cell>
          <cell r="I561" t="e">
            <v>#DIV/0!</v>
          </cell>
          <cell r="J561">
            <v>0</v>
          </cell>
          <cell r="M561" t="str">
            <v>Анапский</v>
          </cell>
        </row>
        <row r="562">
          <cell r="A562">
            <v>6</v>
          </cell>
          <cell r="C562" t="str">
            <v>т</v>
          </cell>
          <cell r="F562">
            <v>0</v>
          </cell>
          <cell r="H562">
            <v>0</v>
          </cell>
          <cell r="I562" t="e">
            <v>#DIV/0!</v>
          </cell>
          <cell r="J562">
            <v>0</v>
          </cell>
          <cell r="M562" t="str">
            <v>Анапский</v>
          </cell>
        </row>
        <row r="563">
          <cell r="A563">
            <v>7</v>
          </cell>
          <cell r="C563" t="str">
            <v>т</v>
          </cell>
          <cell r="F563">
            <v>0</v>
          </cell>
          <cell r="H563">
            <v>0</v>
          </cell>
          <cell r="I563" t="e">
            <v>#DIV/0!</v>
          </cell>
          <cell r="J563">
            <v>0</v>
          </cell>
          <cell r="M563" t="str">
            <v>Анапский</v>
          </cell>
        </row>
        <row r="564">
          <cell r="A564">
            <v>8</v>
          </cell>
          <cell r="C564" t="str">
            <v>т</v>
          </cell>
          <cell r="F564">
            <v>0</v>
          </cell>
          <cell r="H564">
            <v>0</v>
          </cell>
          <cell r="I564" t="e">
            <v>#DIV/0!</v>
          </cell>
          <cell r="J564">
            <v>0</v>
          </cell>
          <cell r="M564" t="str">
            <v>Анапский</v>
          </cell>
        </row>
        <row r="565">
          <cell r="A565">
            <v>9</v>
          </cell>
          <cell r="C565" t="str">
            <v>т</v>
          </cell>
          <cell r="F565">
            <v>0</v>
          </cell>
          <cell r="H565">
            <v>0</v>
          </cell>
          <cell r="I565" t="e">
            <v>#DIV/0!</v>
          </cell>
          <cell r="J565">
            <v>0</v>
          </cell>
          <cell r="M565" t="str">
            <v>Анапский</v>
          </cell>
        </row>
        <row r="566">
          <cell r="A566">
            <v>10</v>
          </cell>
          <cell r="C566" t="str">
            <v>т</v>
          </cell>
          <cell r="F566">
            <v>0</v>
          </cell>
          <cell r="H566">
            <v>0</v>
          </cell>
          <cell r="I566" t="e">
            <v>#DIV/0!</v>
          </cell>
          <cell r="J566">
            <v>0</v>
          </cell>
          <cell r="M566" t="str">
            <v>Анапский</v>
          </cell>
        </row>
        <row r="567">
          <cell r="M567" t="str">
            <v>Анапский</v>
          </cell>
        </row>
        <row r="568">
          <cell r="B568" t="str">
            <v>Заготовительно-складские расходы</v>
          </cell>
          <cell r="F568">
            <v>24.44</v>
          </cell>
          <cell r="H568">
            <v>0</v>
          </cell>
          <cell r="I568">
            <v>0</v>
          </cell>
          <cell r="J568">
            <v>-24.44</v>
          </cell>
          <cell r="M568" t="str">
            <v>Анапский</v>
          </cell>
        </row>
        <row r="569">
          <cell r="A569">
            <v>1</v>
          </cell>
          <cell r="B569">
            <v>0</v>
          </cell>
          <cell r="C569" t="str">
            <v>руб</v>
          </cell>
          <cell r="D569">
            <v>0.02</v>
          </cell>
          <cell r="E569">
            <v>1222</v>
          </cell>
          <cell r="F569">
            <v>24.44</v>
          </cell>
          <cell r="H569">
            <v>0</v>
          </cell>
          <cell r="I569">
            <v>0</v>
          </cell>
          <cell r="J569">
            <v>-24.44</v>
          </cell>
          <cell r="M569" t="str">
            <v>Анапский</v>
          </cell>
        </row>
        <row r="570">
          <cell r="A570">
            <v>2</v>
          </cell>
          <cell r="B570">
            <v>0</v>
          </cell>
          <cell r="C570" t="str">
            <v>руб</v>
          </cell>
          <cell r="E570">
            <v>0</v>
          </cell>
          <cell r="F570">
            <v>0</v>
          </cell>
          <cell r="H570">
            <v>0</v>
          </cell>
          <cell r="I570" t="e">
            <v>#DIV/0!</v>
          </cell>
          <cell r="J570">
            <v>0</v>
          </cell>
          <cell r="M570" t="str">
            <v>Анапский</v>
          </cell>
        </row>
        <row r="571">
          <cell r="A571">
            <v>3</v>
          </cell>
          <cell r="B571">
            <v>0</v>
          </cell>
          <cell r="C571" t="str">
            <v>руб</v>
          </cell>
          <cell r="E571">
            <v>0</v>
          </cell>
          <cell r="F571">
            <v>0</v>
          </cell>
          <cell r="H571">
            <v>0</v>
          </cell>
          <cell r="I571" t="e">
            <v>#DIV/0!</v>
          </cell>
          <cell r="J571">
            <v>0</v>
          </cell>
          <cell r="M571" t="str">
            <v>Анапский</v>
          </cell>
        </row>
        <row r="572">
          <cell r="A572">
            <v>4</v>
          </cell>
          <cell r="B572">
            <v>0</v>
          </cell>
          <cell r="C572" t="str">
            <v>руб</v>
          </cell>
          <cell r="E572">
            <v>0</v>
          </cell>
          <cell r="F572">
            <v>0</v>
          </cell>
          <cell r="H572">
            <v>0</v>
          </cell>
          <cell r="I572" t="e">
            <v>#DIV/0!</v>
          </cell>
          <cell r="J572">
            <v>0</v>
          </cell>
          <cell r="M572" t="str">
            <v>Анапский</v>
          </cell>
        </row>
        <row r="573">
          <cell r="A573">
            <v>5</v>
          </cell>
          <cell r="B573">
            <v>0</v>
          </cell>
          <cell r="C573" t="str">
            <v>руб</v>
          </cell>
          <cell r="E573">
            <v>0</v>
          </cell>
          <cell r="F573">
            <v>0</v>
          </cell>
          <cell r="H573">
            <v>0</v>
          </cell>
          <cell r="I573" t="e">
            <v>#DIV/0!</v>
          </cell>
          <cell r="J573">
            <v>0</v>
          </cell>
          <cell r="M573" t="str">
            <v>Анапский</v>
          </cell>
        </row>
        <row r="574">
          <cell r="A574">
            <v>6</v>
          </cell>
          <cell r="B574">
            <v>0</v>
          </cell>
          <cell r="C574" t="str">
            <v>руб</v>
          </cell>
          <cell r="E574">
            <v>0</v>
          </cell>
          <cell r="F574">
            <v>0</v>
          </cell>
          <cell r="H574">
            <v>0</v>
          </cell>
          <cell r="I574" t="e">
            <v>#DIV/0!</v>
          </cell>
          <cell r="J574">
            <v>0</v>
          </cell>
          <cell r="M574" t="str">
            <v>Анапский</v>
          </cell>
        </row>
        <row r="575">
          <cell r="A575">
            <v>7</v>
          </cell>
          <cell r="B575">
            <v>0</v>
          </cell>
          <cell r="C575" t="str">
            <v>руб</v>
          </cell>
          <cell r="E575">
            <v>0</v>
          </cell>
          <cell r="F575">
            <v>0</v>
          </cell>
          <cell r="H575">
            <v>0</v>
          </cell>
          <cell r="I575" t="e">
            <v>#DIV/0!</v>
          </cell>
          <cell r="J575">
            <v>0</v>
          </cell>
          <cell r="M575" t="str">
            <v>Анапский</v>
          </cell>
        </row>
        <row r="576">
          <cell r="A576">
            <v>8</v>
          </cell>
          <cell r="B576">
            <v>0</v>
          </cell>
          <cell r="C576" t="str">
            <v>руб</v>
          </cell>
          <cell r="E576">
            <v>0</v>
          </cell>
          <cell r="F576">
            <v>0</v>
          </cell>
          <cell r="H576">
            <v>0</v>
          </cell>
          <cell r="I576" t="e">
            <v>#DIV/0!</v>
          </cell>
          <cell r="J576">
            <v>0</v>
          </cell>
          <cell r="M576" t="str">
            <v>Анапский</v>
          </cell>
        </row>
        <row r="577">
          <cell r="A577">
            <v>9</v>
          </cell>
          <cell r="B577">
            <v>0</v>
          </cell>
          <cell r="C577" t="str">
            <v>руб</v>
          </cell>
          <cell r="E577">
            <v>0</v>
          </cell>
          <cell r="F577">
            <v>0</v>
          </cell>
          <cell r="H577">
            <v>0</v>
          </cell>
          <cell r="I577" t="e">
            <v>#DIV/0!</v>
          </cell>
          <cell r="J577">
            <v>0</v>
          </cell>
          <cell r="M577" t="str">
            <v>Анапский</v>
          </cell>
        </row>
        <row r="578">
          <cell r="A578">
            <v>10</v>
          </cell>
          <cell r="B578">
            <v>0</v>
          </cell>
          <cell r="C578" t="str">
            <v>руб</v>
          </cell>
          <cell r="E578">
            <v>0</v>
          </cell>
          <cell r="F578">
            <v>0</v>
          </cell>
          <cell r="H578">
            <v>0</v>
          </cell>
          <cell r="I578" t="e">
            <v>#DIV/0!</v>
          </cell>
          <cell r="J578">
            <v>0</v>
          </cell>
          <cell r="M578" t="str">
            <v>Анапский</v>
          </cell>
        </row>
        <row r="579">
          <cell r="M579" t="str">
            <v>Анапский</v>
          </cell>
        </row>
        <row r="580">
          <cell r="M580" t="str">
            <v>Анапский</v>
          </cell>
        </row>
        <row r="581">
          <cell r="B581" t="str">
            <v>Составил:______________________________</v>
          </cell>
          <cell r="M581" t="str">
            <v>Анапский</v>
          </cell>
        </row>
        <row r="582">
          <cell r="M582" t="str">
            <v>Анапский</v>
          </cell>
        </row>
        <row r="583">
          <cell r="B583" t="str">
            <v>Начальник ТДО: ________________________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42"/>
    <pageSetUpPr fitToPage="1"/>
  </sheetPr>
  <dimension ref="A1:DK63"/>
  <sheetViews>
    <sheetView showGridLines="0" showZeros="0" zoomScale="115" zoomScaleNormal="115" zoomScaleSheetLayoutView="85" workbookViewId="0">
      <pane xSplit="13" ySplit="3" topLeftCell="BD25" activePane="bottomRight" state="frozen"/>
      <selection pane="topRight" activeCell="J1" sqref="J1"/>
      <selection pane="bottomLeft" activeCell="A4" sqref="A4"/>
      <selection pane="bottomRight" activeCell="BQ5" sqref="BQ5"/>
    </sheetView>
  </sheetViews>
  <sheetFormatPr defaultColWidth="9.140625" defaultRowHeight="12.75" outlineLevelCol="2"/>
  <cols>
    <col min="1" max="1" width="3.7109375" style="180" customWidth="1"/>
    <col min="2" max="2" width="9.140625" style="180" customWidth="1"/>
    <col min="3" max="3" width="8.7109375" style="180" hidden="1" customWidth="1"/>
    <col min="4" max="4" width="8.42578125" style="180" hidden="1" customWidth="1" collapsed="1"/>
    <col min="5" max="7" width="5.42578125" style="180" hidden="1" customWidth="1"/>
    <col min="8" max="8" width="9.7109375" style="190" hidden="1" customWidth="1"/>
    <col min="9" max="9" width="4.7109375" style="180" hidden="1" customWidth="1"/>
    <col min="10" max="10" width="9" style="180" hidden="1" customWidth="1"/>
    <col min="11" max="11" width="11.7109375" style="180" customWidth="1" collapsed="1"/>
    <col min="12" max="12" width="12" style="194" hidden="1" customWidth="1" outlineLevel="1"/>
    <col min="13" max="13" width="40.7109375" style="195" customWidth="1" collapsed="1"/>
    <col min="14" max="15" width="11" style="188" customWidth="1"/>
    <col min="16" max="16" width="15.140625" style="188" customWidth="1"/>
    <col min="17" max="17" width="9.85546875" style="188" customWidth="1"/>
    <col min="18" max="18" width="9.42578125" style="188" customWidth="1"/>
    <col min="19" max="19" width="11.7109375" style="188" customWidth="1"/>
    <col min="20" max="20" width="12.28515625" style="188" customWidth="1"/>
    <col min="21" max="21" width="9.7109375" style="188" customWidth="1"/>
    <col min="22" max="22" width="10.140625" style="188" customWidth="1"/>
    <col min="23" max="23" width="8.85546875" style="188" customWidth="1"/>
    <col min="24" max="24" width="12.7109375" style="188" customWidth="1"/>
    <col min="25" max="26" width="8.7109375" style="188" hidden="1" customWidth="1"/>
    <col min="27" max="27" width="8.28515625" style="188" customWidth="1"/>
    <col min="28" max="29" width="7.7109375" style="188" customWidth="1" outlineLevel="1"/>
    <col min="30" max="30" width="8.7109375" style="188" customWidth="1" outlineLevel="1"/>
    <col min="31" max="31" width="9.5703125" style="188" hidden="1" customWidth="1" outlineLevel="1"/>
    <col min="32" max="35" width="9.5703125" style="188" hidden="1" customWidth="1" outlineLevel="2"/>
    <col min="36" max="36" width="9.42578125" style="196" hidden="1" customWidth="1" outlineLevel="1" collapsed="1"/>
    <col min="37" max="37" width="11.140625" style="196" hidden="1" customWidth="1" outlineLevel="2"/>
    <col min="38" max="40" width="9.42578125" style="196" hidden="1" customWidth="1" outlineLevel="2"/>
    <col min="41" max="41" width="11.28515625" style="196" customWidth="1" outlineLevel="1" collapsed="1"/>
    <col min="42" max="42" width="11.5703125" style="196" hidden="1" customWidth="1" outlineLevel="2"/>
    <col min="43" max="45" width="9.42578125" style="196" hidden="1" customWidth="1" outlineLevel="2"/>
    <col min="46" max="46" width="10.140625" style="196" hidden="1" customWidth="1" outlineLevel="1" collapsed="1"/>
    <col min="47" max="50" width="9.42578125" style="196" hidden="1" customWidth="1" outlineLevel="2"/>
    <col min="51" max="51" width="9.7109375" style="188" customWidth="1" outlineLevel="1" collapsed="1"/>
    <col min="52" max="55" width="9.7109375" style="188" hidden="1" customWidth="1" outlineLevel="2"/>
    <col min="56" max="56" width="9.5703125" style="188" customWidth="1" outlineLevel="1" collapsed="1"/>
    <col min="57" max="60" width="9.42578125" style="196" hidden="1" customWidth="1" outlineLevel="2"/>
    <col min="61" max="61" width="9.7109375" style="188" hidden="1" customWidth="1" outlineLevel="1" collapsed="1"/>
    <col min="62" max="65" width="9.7109375" style="188" hidden="1" customWidth="1" outlineLevel="2"/>
    <col min="66" max="66" width="9.7109375" style="188" hidden="1" customWidth="1" collapsed="1"/>
    <col min="67" max="67" width="10.7109375" style="189" customWidth="1"/>
    <col min="68" max="69" width="8.7109375" style="190" customWidth="1"/>
    <col min="70" max="71" width="8.7109375" style="190" hidden="1" customWidth="1" outlineLevel="1"/>
    <col min="72" max="73" width="9.7109375" style="180" hidden="1" customWidth="1" outlineLevel="1"/>
    <col min="74" max="74" width="8" style="180" customWidth="1" collapsed="1"/>
    <col min="75" max="75" width="6.7109375" style="180" hidden="1" customWidth="1"/>
    <col min="76" max="76" width="10.7109375" style="180" customWidth="1"/>
    <col min="77" max="77" width="10.7109375" style="180" hidden="1" customWidth="1"/>
    <col min="78" max="78" width="10.7109375" style="180" customWidth="1"/>
    <col min="79" max="79" width="2.140625" style="171" customWidth="1"/>
    <col min="80" max="90" width="9.140625" style="171" customWidth="1"/>
    <col min="91" max="92" width="9.28515625" style="171" customWidth="1"/>
    <col min="93" max="99" width="9.140625" style="171" customWidth="1"/>
    <col min="100" max="100" width="9.42578125" style="171" customWidth="1"/>
    <col min="101" max="103" width="9.140625" style="171" customWidth="1"/>
    <col min="104" max="104" width="2.42578125" style="198" hidden="1" customWidth="1"/>
    <col min="105" max="105" width="9.5703125" style="171" hidden="1" customWidth="1"/>
    <col min="106" max="106" width="11.140625" style="171" hidden="1" customWidth="1"/>
    <col min="107" max="107" width="9.140625" style="171" hidden="1" customWidth="1"/>
    <col min="108" max="108" width="8" style="171" hidden="1" customWidth="1"/>
    <col min="109" max="109" width="7.7109375" style="180" hidden="1" customWidth="1"/>
    <col min="110" max="110" width="8.85546875" style="180" hidden="1" customWidth="1"/>
    <col min="111" max="111" width="9.5703125" style="180" hidden="1" customWidth="1"/>
    <col min="112" max="112" width="9.85546875" style="180" hidden="1" customWidth="1"/>
    <col min="113" max="113" width="7.5703125" style="180" hidden="1" customWidth="1"/>
    <col min="114" max="114" width="10.140625" style="180" hidden="1" customWidth="1"/>
    <col min="115" max="115" width="8" style="180" hidden="1" customWidth="1"/>
    <col min="116" max="16384" width="9.140625" style="171"/>
  </cols>
  <sheetData>
    <row r="1" spans="1:115" s="111" customFormat="1" ht="12.75" customHeight="1">
      <c r="A1" s="98"/>
      <c r="B1" s="99"/>
      <c r="C1" s="100"/>
      <c r="D1" s="100"/>
      <c r="E1" s="100"/>
      <c r="F1" s="100"/>
      <c r="G1" s="100"/>
      <c r="H1" s="101"/>
      <c r="I1" s="100"/>
      <c r="J1" s="100"/>
      <c r="K1" s="102"/>
      <c r="L1" s="103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4"/>
      <c r="Z1" s="104"/>
      <c r="AA1" s="105"/>
      <c r="AB1" s="105"/>
      <c r="AC1" s="105"/>
      <c r="AD1" s="105"/>
      <c r="AE1" s="106"/>
      <c r="AF1" s="106"/>
      <c r="AG1" s="106"/>
      <c r="AH1" s="106"/>
      <c r="AI1" s="106"/>
      <c r="AJ1" s="280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2"/>
      <c r="AZ1" s="102"/>
      <c r="BA1" s="102"/>
      <c r="BB1" s="102"/>
      <c r="BC1" s="102"/>
      <c r="BD1" s="106">
        <v>0.18</v>
      </c>
      <c r="BE1" s="106"/>
      <c r="BF1" s="106"/>
      <c r="BG1" s="106"/>
      <c r="BH1" s="106"/>
      <c r="BI1" s="107"/>
      <c r="BJ1" s="102"/>
      <c r="BK1" s="102"/>
      <c r="BL1" s="102"/>
      <c r="BM1" s="102"/>
      <c r="BN1" s="107"/>
      <c r="BO1" s="108"/>
      <c r="BP1" s="102"/>
      <c r="BQ1" s="102"/>
      <c r="BR1" s="109"/>
      <c r="BS1" s="109"/>
      <c r="BT1" s="102"/>
      <c r="BU1" s="102"/>
      <c r="BV1" s="102"/>
      <c r="BW1" s="102"/>
      <c r="BX1" s="110"/>
      <c r="BY1" s="110"/>
      <c r="BZ1" s="110"/>
      <c r="CZ1" s="112"/>
      <c r="DA1" s="286" t="s">
        <v>64</v>
      </c>
      <c r="DB1" s="286"/>
      <c r="DC1" s="286"/>
      <c r="DD1" s="286"/>
      <c r="DE1" s="113"/>
      <c r="DF1" s="113"/>
      <c r="DG1" s="113"/>
      <c r="DH1" s="113"/>
      <c r="DI1" s="113"/>
      <c r="DJ1" s="113"/>
      <c r="DK1" s="113"/>
    </row>
    <row r="2" spans="1:115" s="117" customFormat="1" ht="73.5">
      <c r="A2" s="114" t="s">
        <v>53</v>
      </c>
      <c r="B2" s="114" t="s">
        <v>17</v>
      </c>
      <c r="C2" s="114" t="s">
        <v>105</v>
      </c>
      <c r="D2" s="114" t="s">
        <v>86</v>
      </c>
      <c r="E2" s="114" t="s">
        <v>67</v>
      </c>
      <c r="F2" s="114" t="s">
        <v>68</v>
      </c>
      <c r="G2" s="114" t="s">
        <v>69</v>
      </c>
      <c r="H2" s="115" t="s">
        <v>129</v>
      </c>
      <c r="I2" s="114" t="s">
        <v>8</v>
      </c>
      <c r="J2" s="114" t="s">
        <v>94</v>
      </c>
      <c r="K2" s="114" t="s">
        <v>35</v>
      </c>
      <c r="L2" s="114" t="s">
        <v>66</v>
      </c>
      <c r="M2" s="114" t="s">
        <v>77</v>
      </c>
      <c r="N2" s="114" t="s">
        <v>63</v>
      </c>
      <c r="O2" s="114" t="s">
        <v>82</v>
      </c>
      <c r="P2" s="114" t="s">
        <v>37</v>
      </c>
      <c r="Q2" s="114" t="s">
        <v>6</v>
      </c>
      <c r="R2" s="114" t="s">
        <v>36</v>
      </c>
      <c r="S2" s="114" t="s">
        <v>62</v>
      </c>
      <c r="T2" s="114" t="s">
        <v>49</v>
      </c>
      <c r="U2" s="114" t="s">
        <v>50</v>
      </c>
      <c r="V2" s="114" t="s">
        <v>52</v>
      </c>
      <c r="W2" s="114" t="s">
        <v>70</v>
      </c>
      <c r="X2" s="114" t="s">
        <v>34</v>
      </c>
      <c r="Y2" s="114" t="s">
        <v>41</v>
      </c>
      <c r="Z2" s="114" t="s">
        <v>27</v>
      </c>
      <c r="AA2" s="114" t="s">
        <v>7</v>
      </c>
      <c r="AB2" s="114" t="s">
        <v>57</v>
      </c>
      <c r="AC2" s="114" t="s">
        <v>59</v>
      </c>
      <c r="AD2" s="116" t="s">
        <v>51</v>
      </c>
      <c r="AE2" s="114" t="s">
        <v>83</v>
      </c>
      <c r="AF2" s="114" t="s">
        <v>81</v>
      </c>
      <c r="AG2" s="114" t="s">
        <v>20</v>
      </c>
      <c r="AH2" s="114" t="s">
        <v>42</v>
      </c>
      <c r="AI2" s="114" t="s">
        <v>58</v>
      </c>
      <c r="AJ2" s="114" t="s">
        <v>84</v>
      </c>
      <c r="AK2" s="114" t="s">
        <v>30</v>
      </c>
      <c r="AL2" s="114" t="s">
        <v>31</v>
      </c>
      <c r="AM2" s="114" t="s">
        <v>32</v>
      </c>
      <c r="AN2" s="114" t="s">
        <v>33</v>
      </c>
      <c r="AO2" s="114" t="s">
        <v>71</v>
      </c>
      <c r="AP2" s="114" t="s">
        <v>119</v>
      </c>
      <c r="AQ2" s="114" t="s">
        <v>120</v>
      </c>
      <c r="AR2" s="114" t="s">
        <v>121</v>
      </c>
      <c r="AS2" s="114" t="s">
        <v>126</v>
      </c>
      <c r="AT2" s="114" t="s">
        <v>109</v>
      </c>
      <c r="AU2" s="114" t="s">
        <v>39</v>
      </c>
      <c r="AV2" s="114" t="s">
        <v>38</v>
      </c>
      <c r="AW2" s="114" t="s">
        <v>54</v>
      </c>
      <c r="AX2" s="114" t="s">
        <v>55</v>
      </c>
      <c r="AY2" s="114" t="s">
        <v>97</v>
      </c>
      <c r="AZ2" s="114" t="s">
        <v>47</v>
      </c>
      <c r="BA2" s="114" t="s">
        <v>1</v>
      </c>
      <c r="BB2" s="114" t="s">
        <v>25</v>
      </c>
      <c r="BC2" s="114" t="s">
        <v>26</v>
      </c>
      <c r="BD2" s="114" t="s">
        <v>127</v>
      </c>
      <c r="BE2" s="114" t="s">
        <v>39</v>
      </c>
      <c r="BF2" s="114" t="s">
        <v>38</v>
      </c>
      <c r="BG2" s="114" t="s">
        <v>54</v>
      </c>
      <c r="BH2" s="114" t="s">
        <v>55</v>
      </c>
      <c r="BI2" s="114" t="s">
        <v>110</v>
      </c>
      <c r="BJ2" s="114" t="s">
        <v>47</v>
      </c>
      <c r="BK2" s="114" t="s">
        <v>1</v>
      </c>
      <c r="BL2" s="114" t="s">
        <v>25</v>
      </c>
      <c r="BM2" s="114" t="s">
        <v>26</v>
      </c>
      <c r="BN2" s="114" t="s">
        <v>111</v>
      </c>
      <c r="BO2" s="114" t="s">
        <v>162</v>
      </c>
      <c r="BP2" s="114" t="s">
        <v>112</v>
      </c>
      <c r="BQ2" s="114" t="s">
        <v>98</v>
      </c>
      <c r="BR2" s="115" t="s">
        <v>113</v>
      </c>
      <c r="BS2" s="115" t="s">
        <v>114</v>
      </c>
      <c r="BT2" s="114" t="s">
        <v>115</v>
      </c>
      <c r="BU2" s="114" t="s">
        <v>116</v>
      </c>
      <c r="BV2" s="114" t="s">
        <v>99</v>
      </c>
      <c r="BW2" s="114" t="s">
        <v>117</v>
      </c>
      <c r="BX2" s="114" t="s">
        <v>100</v>
      </c>
      <c r="BY2" s="114" t="s">
        <v>118</v>
      </c>
      <c r="BZ2" s="114" t="s">
        <v>249</v>
      </c>
      <c r="CB2" s="118" t="s">
        <v>73</v>
      </c>
      <c r="CC2" s="118" t="s">
        <v>0</v>
      </c>
      <c r="CD2" s="118" t="s">
        <v>74</v>
      </c>
      <c r="CE2" s="118" t="s">
        <v>75</v>
      </c>
      <c r="CF2" s="118" t="s">
        <v>19</v>
      </c>
      <c r="CG2" s="118" t="s">
        <v>56</v>
      </c>
      <c r="CH2" s="118" t="s">
        <v>76</v>
      </c>
      <c r="CI2" s="118" t="s">
        <v>95</v>
      </c>
      <c r="CJ2" s="118" t="s">
        <v>96</v>
      </c>
      <c r="CK2" s="118" t="s">
        <v>22</v>
      </c>
      <c r="CL2" s="118" t="s">
        <v>4</v>
      </c>
      <c r="CM2" s="118" t="s">
        <v>9</v>
      </c>
      <c r="CN2" s="118" t="s">
        <v>72</v>
      </c>
      <c r="CO2" s="118" t="s">
        <v>89</v>
      </c>
      <c r="CP2" s="118" t="s">
        <v>90</v>
      </c>
      <c r="CQ2" s="118" t="s">
        <v>11</v>
      </c>
      <c r="CR2" s="118" t="s">
        <v>85</v>
      </c>
      <c r="CS2" s="118" t="s">
        <v>40</v>
      </c>
      <c r="CT2" s="118" t="s">
        <v>60</v>
      </c>
      <c r="CU2" s="118" t="s">
        <v>78</v>
      </c>
      <c r="CV2" s="118" t="s">
        <v>29</v>
      </c>
      <c r="CW2" s="118" t="s">
        <v>21</v>
      </c>
      <c r="CX2" s="118" t="s">
        <v>48</v>
      </c>
      <c r="CY2" s="118" t="s">
        <v>3</v>
      </c>
      <c r="CZ2" s="119"/>
      <c r="DA2" s="114" t="s">
        <v>119</v>
      </c>
      <c r="DB2" s="114" t="s">
        <v>120</v>
      </c>
      <c r="DC2" s="114" t="s">
        <v>121</v>
      </c>
      <c r="DD2" s="114" t="s">
        <v>122</v>
      </c>
      <c r="DF2" s="116" t="s">
        <v>80</v>
      </c>
      <c r="DG2" s="114" t="s">
        <v>123</v>
      </c>
      <c r="DH2" s="114" t="s">
        <v>202</v>
      </c>
      <c r="DI2" s="114" t="s">
        <v>16</v>
      </c>
      <c r="DJ2" s="114" t="s">
        <v>124</v>
      </c>
      <c r="DK2" s="114" t="s">
        <v>12</v>
      </c>
    </row>
    <row r="3" spans="1:115" s="122" customFormat="1" ht="12.75" customHeight="1">
      <c r="A3" s="120">
        <v>1</v>
      </c>
      <c r="B3" s="120">
        <f>A3+1</f>
        <v>2</v>
      </c>
      <c r="C3" s="120">
        <f t="shared" ref="C3:K3" si="0">B3+1</f>
        <v>3</v>
      </c>
      <c r="D3" s="120">
        <f t="shared" si="0"/>
        <v>4</v>
      </c>
      <c r="E3" s="120">
        <f t="shared" si="0"/>
        <v>5</v>
      </c>
      <c r="F3" s="120">
        <f t="shared" si="0"/>
        <v>6</v>
      </c>
      <c r="G3" s="120">
        <f t="shared" si="0"/>
        <v>7</v>
      </c>
      <c r="H3" s="121">
        <f t="shared" si="0"/>
        <v>8</v>
      </c>
      <c r="I3" s="120">
        <f t="shared" si="0"/>
        <v>9</v>
      </c>
      <c r="J3" s="120">
        <f t="shared" si="0"/>
        <v>10</v>
      </c>
      <c r="K3" s="120">
        <f t="shared" si="0"/>
        <v>11</v>
      </c>
      <c r="L3" s="120">
        <f t="shared" ref="L3" si="1">K3+1</f>
        <v>12</v>
      </c>
      <c r="M3" s="120">
        <f t="shared" ref="M3" si="2">L3+1</f>
        <v>13</v>
      </c>
      <c r="N3" s="120">
        <f t="shared" ref="N3" si="3">M3+1</f>
        <v>14</v>
      </c>
      <c r="O3" s="120">
        <f t="shared" ref="O3" si="4">N3+1</f>
        <v>15</v>
      </c>
      <c r="P3" s="120">
        <f t="shared" ref="P3" si="5">O3+1</f>
        <v>16</v>
      </c>
      <c r="Q3" s="120">
        <f t="shared" ref="Q3" si="6">P3+1</f>
        <v>17</v>
      </c>
      <c r="R3" s="120">
        <f t="shared" ref="R3" si="7">Q3+1</f>
        <v>18</v>
      </c>
      <c r="S3" s="120">
        <f t="shared" ref="S3" si="8">R3+1</f>
        <v>19</v>
      </c>
      <c r="T3" s="120">
        <f t="shared" ref="T3" si="9">S3+1</f>
        <v>20</v>
      </c>
      <c r="U3" s="120">
        <f t="shared" ref="U3" si="10">T3+1</f>
        <v>21</v>
      </c>
      <c r="V3" s="120">
        <f t="shared" ref="V3" si="11">U3+1</f>
        <v>22</v>
      </c>
      <c r="W3" s="120">
        <f t="shared" ref="W3" si="12">V3+1</f>
        <v>23</v>
      </c>
      <c r="X3" s="120">
        <f t="shared" ref="X3" si="13">W3+1</f>
        <v>24</v>
      </c>
      <c r="Y3" s="120">
        <f t="shared" ref="Y3" si="14">X3+1</f>
        <v>25</v>
      </c>
      <c r="Z3" s="120">
        <f t="shared" ref="Z3" si="15">Y3+1</f>
        <v>26</v>
      </c>
      <c r="AA3" s="120">
        <f t="shared" ref="AA3" si="16">Z3+1</f>
        <v>27</v>
      </c>
      <c r="AB3" s="120">
        <f t="shared" ref="AB3" si="17">AA3+1</f>
        <v>28</v>
      </c>
      <c r="AC3" s="120">
        <f t="shared" ref="AC3" si="18">AB3+1</f>
        <v>29</v>
      </c>
      <c r="AD3" s="120">
        <f t="shared" ref="AD3" si="19">AC3+1</f>
        <v>30</v>
      </c>
      <c r="AE3" s="120">
        <f t="shared" ref="AE3" si="20">AD3+1</f>
        <v>31</v>
      </c>
      <c r="AF3" s="120">
        <f t="shared" ref="AF3" si="21">AE3+1</f>
        <v>32</v>
      </c>
      <c r="AG3" s="120">
        <f t="shared" ref="AG3" si="22">AF3+1</f>
        <v>33</v>
      </c>
      <c r="AH3" s="120">
        <f t="shared" ref="AH3" si="23">AG3+1</f>
        <v>34</v>
      </c>
      <c r="AI3" s="120">
        <f t="shared" ref="AI3" si="24">AH3+1</f>
        <v>35</v>
      </c>
      <c r="AJ3" s="120">
        <f t="shared" ref="AJ3" si="25">AI3+1</f>
        <v>36</v>
      </c>
      <c r="AK3" s="120">
        <f t="shared" ref="AK3" si="26">AJ3+1</f>
        <v>37</v>
      </c>
      <c r="AL3" s="120">
        <f t="shared" ref="AL3" si="27">AK3+1</f>
        <v>38</v>
      </c>
      <c r="AM3" s="120">
        <f t="shared" ref="AM3" si="28">AL3+1</f>
        <v>39</v>
      </c>
      <c r="AN3" s="120">
        <f t="shared" ref="AN3" si="29">AM3+1</f>
        <v>40</v>
      </c>
      <c r="AO3" s="120">
        <f t="shared" ref="AO3" si="30">AN3+1</f>
        <v>41</v>
      </c>
      <c r="AP3" s="120">
        <f t="shared" ref="AP3" si="31">AO3+1</f>
        <v>42</v>
      </c>
      <c r="AQ3" s="120">
        <f t="shared" ref="AQ3" si="32">AP3+1</f>
        <v>43</v>
      </c>
      <c r="AR3" s="120">
        <f t="shared" ref="AR3" si="33">AQ3+1</f>
        <v>44</v>
      </c>
      <c r="AS3" s="120">
        <f t="shared" ref="AS3" si="34">AR3+1</f>
        <v>45</v>
      </c>
      <c r="AT3" s="120">
        <f t="shared" ref="AT3" si="35">AS3+1</f>
        <v>46</v>
      </c>
      <c r="AU3" s="120">
        <f t="shared" ref="AU3" si="36">AT3+1</f>
        <v>47</v>
      </c>
      <c r="AV3" s="120">
        <f t="shared" ref="AV3" si="37">AU3+1</f>
        <v>48</v>
      </c>
      <c r="AW3" s="120">
        <f t="shared" ref="AW3" si="38">AV3+1</f>
        <v>49</v>
      </c>
      <c r="AX3" s="120">
        <f t="shared" ref="AX3" si="39">AW3+1</f>
        <v>50</v>
      </c>
      <c r="AY3" s="120">
        <f t="shared" ref="AY3" si="40">AX3+1</f>
        <v>51</v>
      </c>
      <c r="AZ3" s="120">
        <f t="shared" ref="AZ3" si="41">AY3+1</f>
        <v>52</v>
      </c>
      <c r="BA3" s="120">
        <f t="shared" ref="BA3" si="42">AZ3+1</f>
        <v>53</v>
      </c>
      <c r="BB3" s="120">
        <f t="shared" ref="BB3" si="43">BA3+1</f>
        <v>54</v>
      </c>
      <c r="BC3" s="120">
        <f t="shared" ref="BC3" si="44">BB3+1</f>
        <v>55</v>
      </c>
      <c r="BD3" s="120">
        <f t="shared" ref="BD3" si="45">BC3+1</f>
        <v>56</v>
      </c>
      <c r="BE3" s="120">
        <f t="shared" ref="BE3" si="46">BD3+1</f>
        <v>57</v>
      </c>
      <c r="BF3" s="120">
        <f t="shared" ref="BF3" si="47">BE3+1</f>
        <v>58</v>
      </c>
      <c r="BG3" s="120">
        <f t="shared" ref="BG3" si="48">BF3+1</f>
        <v>59</v>
      </c>
      <c r="BH3" s="120">
        <f t="shared" ref="BH3" si="49">BG3+1</f>
        <v>60</v>
      </c>
      <c r="BI3" s="120">
        <f t="shared" ref="BI3" si="50">BH3+1</f>
        <v>61</v>
      </c>
      <c r="BJ3" s="120">
        <f t="shared" ref="BJ3" si="51">BI3+1</f>
        <v>62</v>
      </c>
      <c r="BK3" s="120">
        <f t="shared" ref="BK3" si="52">BJ3+1</f>
        <v>63</v>
      </c>
      <c r="BL3" s="120">
        <f t="shared" ref="BL3" si="53">BK3+1</f>
        <v>64</v>
      </c>
      <c r="BM3" s="120">
        <f t="shared" ref="BM3" si="54">BL3+1</f>
        <v>65</v>
      </c>
      <c r="BN3" s="120">
        <f t="shared" ref="BN3" si="55">BM3+1</f>
        <v>66</v>
      </c>
      <c r="BO3" s="120">
        <f t="shared" ref="BO3" si="56">BN3+1</f>
        <v>67</v>
      </c>
      <c r="BP3" s="120">
        <f t="shared" ref="BP3" si="57">BO3+1</f>
        <v>68</v>
      </c>
      <c r="BQ3" s="120">
        <f t="shared" ref="BQ3" si="58">BP3+1</f>
        <v>69</v>
      </c>
      <c r="BR3" s="120">
        <f t="shared" ref="BR3" si="59">BQ3+1</f>
        <v>70</v>
      </c>
      <c r="BS3" s="120">
        <f t="shared" ref="BS3" si="60">BR3+1</f>
        <v>71</v>
      </c>
      <c r="BT3" s="120">
        <f t="shared" ref="BT3" si="61">BS3+1</f>
        <v>72</v>
      </c>
      <c r="BU3" s="120">
        <f t="shared" ref="BU3" si="62">BT3+1</f>
        <v>73</v>
      </c>
      <c r="BV3" s="120">
        <f t="shared" ref="BV3" si="63">BU3+1</f>
        <v>74</v>
      </c>
      <c r="BW3" s="120">
        <f t="shared" ref="BW3" si="64">BV3+1</f>
        <v>75</v>
      </c>
      <c r="BX3" s="120">
        <f t="shared" ref="BX3" si="65">BW3+1</f>
        <v>76</v>
      </c>
      <c r="BY3" s="120">
        <f t="shared" ref="BY3" si="66">BX3+1</f>
        <v>77</v>
      </c>
      <c r="BZ3" s="120">
        <f t="shared" ref="BZ3" si="67">BY3+1</f>
        <v>78</v>
      </c>
      <c r="CA3" s="120">
        <f t="shared" ref="CA3" si="68">BZ3+1</f>
        <v>79</v>
      </c>
      <c r="CB3" s="120">
        <f t="shared" ref="CB3" si="69">CA3+1</f>
        <v>80</v>
      </c>
      <c r="CC3" s="120">
        <f t="shared" ref="CC3" si="70">CB3+1</f>
        <v>81</v>
      </c>
      <c r="CD3" s="120">
        <f t="shared" ref="CD3" si="71">CC3+1</f>
        <v>82</v>
      </c>
      <c r="CE3" s="120">
        <f t="shared" ref="CE3" si="72">CD3+1</f>
        <v>83</v>
      </c>
      <c r="CF3" s="120">
        <f t="shared" ref="CF3" si="73">CE3+1</f>
        <v>84</v>
      </c>
      <c r="CG3" s="120">
        <f t="shared" ref="CG3" si="74">CF3+1</f>
        <v>85</v>
      </c>
      <c r="CH3" s="120">
        <f t="shared" ref="CH3" si="75">CG3+1</f>
        <v>86</v>
      </c>
      <c r="CI3" s="120">
        <f t="shared" ref="CI3" si="76">CH3+1</f>
        <v>87</v>
      </c>
      <c r="CJ3" s="120">
        <f t="shared" ref="CJ3" si="77">CI3+1</f>
        <v>88</v>
      </c>
      <c r="CK3" s="120">
        <f t="shared" ref="CK3" si="78">CJ3+1</f>
        <v>89</v>
      </c>
      <c r="CL3" s="120">
        <f t="shared" ref="CL3" si="79">CK3+1</f>
        <v>90</v>
      </c>
      <c r="CM3" s="120">
        <f t="shared" ref="CM3" si="80">CL3+1</f>
        <v>91</v>
      </c>
      <c r="CN3" s="120">
        <f t="shared" ref="CN3" si="81">CM3+1</f>
        <v>92</v>
      </c>
      <c r="CO3" s="120">
        <f t="shared" ref="CO3" si="82">CN3+1</f>
        <v>93</v>
      </c>
      <c r="CP3" s="120">
        <f t="shared" ref="CP3" si="83">CO3+1</f>
        <v>94</v>
      </c>
      <c r="CQ3" s="120">
        <f t="shared" ref="CQ3" si="84">CP3+1</f>
        <v>95</v>
      </c>
      <c r="CR3" s="120">
        <f t="shared" ref="CR3" si="85">CQ3+1</f>
        <v>96</v>
      </c>
      <c r="CS3" s="120">
        <f t="shared" ref="CS3" si="86">CR3+1</f>
        <v>97</v>
      </c>
      <c r="CT3" s="120">
        <f t="shared" ref="CT3" si="87">CS3+1</f>
        <v>98</v>
      </c>
      <c r="CU3" s="120">
        <f t="shared" ref="CU3" si="88">CT3+1</f>
        <v>99</v>
      </c>
      <c r="CV3" s="120">
        <f t="shared" ref="CV3" si="89">CU3+1</f>
        <v>100</v>
      </c>
      <c r="CW3" s="120">
        <f t="shared" ref="CW3" si="90">CV3+1</f>
        <v>101</v>
      </c>
      <c r="CX3" s="120">
        <f t="shared" ref="CX3" si="91">CW3+1</f>
        <v>102</v>
      </c>
      <c r="CY3" s="120">
        <f t="shared" ref="CY3" si="92">CX3+1</f>
        <v>103</v>
      </c>
      <c r="CZ3" s="120">
        <f t="shared" ref="CZ3" si="93">CY3+1</f>
        <v>104</v>
      </c>
      <c r="DA3" s="120">
        <f t="shared" ref="DA3" si="94">CZ3+1</f>
        <v>105</v>
      </c>
      <c r="DB3" s="120">
        <f t="shared" ref="DB3" si="95">DA3+1</f>
        <v>106</v>
      </c>
      <c r="DC3" s="120">
        <f t="shared" ref="DC3" si="96">DB3+1</f>
        <v>107</v>
      </c>
      <c r="DD3" s="120">
        <f t="shared" ref="DD3" si="97">DC3+1</f>
        <v>108</v>
      </c>
      <c r="DE3" s="120">
        <f t="shared" ref="DE3" si="98">DD3+1</f>
        <v>109</v>
      </c>
      <c r="DF3" s="120">
        <f t="shared" ref="DF3" si="99">DE3+1</f>
        <v>110</v>
      </c>
      <c r="DG3" s="120">
        <f t="shared" ref="DG3" si="100">DF3+1</f>
        <v>111</v>
      </c>
      <c r="DH3" s="120">
        <f t="shared" ref="DH3" si="101">DG3+1</f>
        <v>112</v>
      </c>
      <c r="DI3" s="120">
        <f t="shared" ref="DI3" si="102">DH3+1</f>
        <v>113</v>
      </c>
      <c r="DJ3" s="120">
        <f t="shared" ref="DJ3" si="103">DI3+1</f>
        <v>114</v>
      </c>
      <c r="DK3" s="120">
        <f t="shared" ref="DK3" si="104">DJ3+1</f>
        <v>115</v>
      </c>
    </row>
    <row r="4" spans="1:115" s="136" customFormat="1" ht="22.5">
      <c r="A4" s="123">
        <v>1</v>
      </c>
      <c r="B4" s="201">
        <v>41919</v>
      </c>
      <c r="C4" s="202"/>
      <c r="D4" s="203"/>
      <c r="E4" s="204"/>
      <c r="F4" s="204">
        <v>0.01</v>
      </c>
      <c r="G4" s="205"/>
      <c r="H4" s="279" t="s">
        <v>130</v>
      </c>
      <c r="I4" s="206"/>
      <c r="J4" s="207"/>
      <c r="K4" s="208" t="s">
        <v>250</v>
      </c>
      <c r="L4" s="128" t="s">
        <v>134</v>
      </c>
      <c r="M4" s="210" t="s">
        <v>254</v>
      </c>
      <c r="N4" s="211">
        <f>(23340+9443)</f>
        <v>32783</v>
      </c>
      <c r="O4" s="211">
        <f>(33109-9443)</f>
        <v>23666</v>
      </c>
      <c r="P4" s="211">
        <f>394073</f>
        <v>394073</v>
      </c>
      <c r="Q4" s="211">
        <f>33479</f>
        <v>33479</v>
      </c>
      <c r="R4" s="211">
        <f>18121</f>
        <v>18121</v>
      </c>
      <c r="S4" s="129">
        <f t="shared" ref="S4:S8" si="105">SUM(N4:R4)</f>
        <v>502122</v>
      </c>
      <c r="T4" s="211">
        <f>SUM(N4:R4)</f>
        <v>502122</v>
      </c>
      <c r="U4" s="211"/>
      <c r="V4" s="211"/>
      <c r="W4" s="211"/>
      <c r="X4" s="129">
        <f t="shared" ref="X4:X8" si="106">SUM(T4:W4)</f>
        <v>502122</v>
      </c>
      <c r="Y4" s="130">
        <f t="shared" ref="Y4:Y8" si="107">ROUND($E4*T4,0)</f>
        <v>0</v>
      </c>
      <c r="Z4" s="130">
        <f t="shared" ref="Z4:Z8" si="108">ROUND($E4*U4,0)</f>
        <v>0</v>
      </c>
      <c r="AA4" s="213">
        <f t="shared" ref="AA4:AA42" si="109">ROUND($F4*SUM(T4:U4,Y4:Z4),0)</f>
        <v>5021</v>
      </c>
      <c r="AB4" s="214"/>
      <c r="AC4" s="214"/>
      <c r="AD4" s="214"/>
      <c r="AE4" s="130"/>
      <c r="AF4" s="130"/>
      <c r="AG4" s="130"/>
      <c r="AH4" s="130"/>
      <c r="AI4" s="130"/>
      <c r="AJ4" s="130">
        <f t="shared" ref="AJ4:AJ8" si="110">ROUND(SUM(AF4:AI4),0)</f>
        <v>0</v>
      </c>
      <c r="AK4" s="130">
        <f t="shared" ref="AK4:AK8" si="111">T4+Y4+AB4+AF4</f>
        <v>502122</v>
      </c>
      <c r="AL4" s="130">
        <f t="shared" ref="AL4:AL8" si="112">U4+Z4+AC4+AG4</f>
        <v>0</v>
      </c>
      <c r="AM4" s="130">
        <f t="shared" ref="AM4:AM8" si="113">V4+AH4</f>
        <v>0</v>
      </c>
      <c r="AN4" s="130">
        <f t="shared" ref="AN4:AN8" si="114">W4+AA4+AD4+AE4+AI4</f>
        <v>5021</v>
      </c>
      <c r="AO4" s="130">
        <f t="shared" ref="AO4:AO8" si="115">SUM(AK4:AN4)</f>
        <v>507143</v>
      </c>
      <c r="AP4" s="131">
        <f t="shared" ref="AP4:AP43" si="116">IF($I4="да",ROUND(DA4*(1+AB4/SUM(T4,Y4))*(1+$AJ$1),0),AK4)</f>
        <v>502122</v>
      </c>
      <c r="AQ4" s="131">
        <f t="shared" ref="AQ4:AQ43" si="117">IF($I4="да",ROUND(DB4*(1+$AJ$1),0),AL4)</f>
        <v>0</v>
      </c>
      <c r="AR4" s="131">
        <f t="shared" ref="AR4:AR43" si="118">IF($I4="да",ROUND(DC4*(1+$AJ$1),0),AM4)</f>
        <v>0</v>
      </c>
      <c r="AS4" s="131">
        <f t="shared" ref="AS4:AS43" si="119">IF($I4="да",ROUND((SUM(DA4:DB4)*IF(DE4=TRUE,F4+G4,AA4/SUM(T4:U4,Y4:Z4)+G4)+DD4)*(1+$AJ$1),0),AN4)</f>
        <v>5021</v>
      </c>
      <c r="AT4" s="130">
        <f t="shared" ref="AT4:AT8" si="120">SUM(AP4:AS4)</f>
        <v>507143</v>
      </c>
      <c r="AU4" s="130">
        <f t="shared" ref="AU4:AU33" si="121">ROUND($BV4*AP4,0)</f>
        <v>34646</v>
      </c>
      <c r="AV4" s="130">
        <f t="shared" ref="AV4:AV33" si="122">ROUND($BV4*AQ4,0)</f>
        <v>0</v>
      </c>
      <c r="AW4" s="130">
        <f t="shared" ref="AW4:AW33" si="123">ROUND($BV4*AR4,0)</f>
        <v>0</v>
      </c>
      <c r="AX4" s="130">
        <f t="shared" ref="AX4:AX33" si="124">ROUND($BV4*AS4,0)</f>
        <v>346</v>
      </c>
      <c r="AY4" s="130">
        <f t="shared" ref="AY4:AY8" si="125">SUM(AU4:AX4)</f>
        <v>34992</v>
      </c>
      <c r="AZ4" s="130">
        <f t="shared" ref="AZ4:AZ8" si="126">ROUND(18%*SUM(AP4,AU4),0)</f>
        <v>96618</v>
      </c>
      <c r="BA4" s="130">
        <f t="shared" ref="BA4:BA8" si="127">ROUND(18%*SUM(AQ4,AV4),0)</f>
        <v>0</v>
      </c>
      <c r="BB4" s="130">
        <f t="shared" ref="BB4:BB8" si="128">ROUND(18%*SUM(AR4,AW4),0)</f>
        <v>0</v>
      </c>
      <c r="BC4" s="130">
        <f t="shared" ref="BC4:BC8" si="129">ROUND(18%*SUM(AS4,AX4),0)</f>
        <v>966</v>
      </c>
      <c r="BD4" s="130">
        <f t="shared" ref="BD4:BD8" si="130">SUM(AZ4:BC4)</f>
        <v>97584</v>
      </c>
      <c r="BE4" s="130">
        <f t="shared" ref="BE4:BE31" si="131">ROUND($BW4*(AK4-AP4),0)</f>
        <v>0</v>
      </c>
      <c r="BF4" s="130">
        <f t="shared" ref="BF4:BF31" si="132">ROUND($BW4*(AL4-AQ4),0)</f>
        <v>0</v>
      </c>
      <c r="BG4" s="130">
        <f t="shared" ref="BG4:BG31" si="133">ROUND($BW4*(AM4-AR4),0)</f>
        <v>0</v>
      </c>
      <c r="BH4" s="130">
        <f t="shared" ref="BH4:BH31" si="134">ROUND($BW4*(AN4-AS4),0)</f>
        <v>0</v>
      </c>
      <c r="BI4" s="130">
        <f t="shared" ref="BI4:BI8" si="135">SUM(BE4:BH4)</f>
        <v>0</v>
      </c>
      <c r="BJ4" s="130">
        <f t="shared" ref="BJ4:BJ8" si="136">ROUND(18%*(AK4-AP4+BE4),0)</f>
        <v>0</v>
      </c>
      <c r="BK4" s="130">
        <f t="shared" ref="BK4:BK8" si="137">ROUND(18%*(AL4-AQ4+BF4),0)</f>
        <v>0</v>
      </c>
      <c r="BL4" s="130">
        <f t="shared" ref="BL4:BL8" si="138">ROUND(18%*(AM4-AR4+BG4),0)</f>
        <v>0</v>
      </c>
      <c r="BM4" s="130">
        <f t="shared" ref="BM4:BM8" si="139">ROUND(18%*(AN4-AS4+BH4),0)</f>
        <v>0</v>
      </c>
      <c r="BN4" s="130">
        <f t="shared" ref="BN4:BN8" si="140">SUM(BJ4:BM4)</f>
        <v>0</v>
      </c>
      <c r="BO4" s="132">
        <f t="shared" ref="BO4:BO8" si="141">SUM(AO4,AY4,BD4,BI4,BN4)</f>
        <v>639719</v>
      </c>
      <c r="BP4" s="215">
        <v>10</v>
      </c>
      <c r="BQ4" s="215">
        <v>11</v>
      </c>
      <c r="BR4" s="215">
        <v>1</v>
      </c>
      <c r="BS4" s="215">
        <v>12</v>
      </c>
      <c r="BT4" s="133">
        <f t="shared" ref="BT4:BT8" si="142">ROUND((CONCATENATE("15.",BQ4,".2014")-CONCATENATE("15.",BP4,".2014"))/2,0)+CONCATENATE("15.",BP4,".2014")</f>
        <v>41943</v>
      </c>
      <c r="BU4" s="133">
        <f t="shared" ref="BU4:BU8" si="143">ROUND((CONCATENATE("15.",BS4,".2015")-CONCATENATE("15.",BR4,".2015"))/2,0)+CONCATENATE("15.",BR4,".2015")</f>
        <v>42186</v>
      </c>
      <c r="BV4" s="134">
        <f>ROUND((1+VLOOKUP(BT4,IF(VLOOKUP(L4,'Расчет инфляции'!$BD$5:$BF$22,3,0)=2,'Расчет инфляции'!$AJ$5:$AK$370,'Расчет инфляции'!$AO$5:$AP$370),2,0))*(1+IF(VLOOKUP(L4,'Расчет инфляции'!$BD$5:$BF$22,3,0)=2,VLOOKUP(H4,'Расчет инфляции'!$BD$25:$BF$52,2,0),VLOOKUP(H4,'Расчет инфляции'!$BD$25:$BF$52,3,0)))-1,4)-IF(VLOOKUP(L4,'Расчет инфляции'!$BD$5:$BF$22,3,0)=2,VLOOKUP(H4,'Расчет инфляции'!$BD$25:$BH$52,4,0),VLOOKUP(H4,'Расчет инфляции'!$BD$25:$BH$52,5,0))</f>
        <v>6.9000000000000006E-2</v>
      </c>
      <c r="BW4" s="135">
        <f>ROUND((1+VLOOKUP(BU4,IF(VLOOKUP(L4,'Расчет инфляции'!$BD$5:$BF$22,3,0)=2,'Расчет инфляции'!$AL$5:$AM$370,'Расчет инфляции'!$AQ$5:$AR$370),2,0))*(1+IF(VLOOKUP(L4,'Расчет инфляции'!$BD$5:$BF$22,3,0)=2,VLOOKUP(H4,'Расчет инфляции'!$BD$25:$HJ$52,6,0),VLOOKUP(H4,'Расчет инфляции'!$BD$25:$HJ$52,7,0)))*(1+IF(VLOOKUP(L4,'Расчет инфляции'!$BD$5:$BF$22,3,0)=2,VLOOKUP(H4,'Расчет инфляции'!$BD$25:$BF$52,2,0),VLOOKUP(H4,'Расчет инфляции'!$BD$25:$BF$52,3,0)))-1,4)</f>
        <v>0.1052</v>
      </c>
      <c r="BX4" s="132">
        <f t="shared" ref="BX4:BX31" si="144">AT4+AY4+BD4</f>
        <v>639719</v>
      </c>
      <c r="BY4" s="132">
        <f t="shared" ref="BY4:BY31" si="145">AO4-AT4+BI4+BN4</f>
        <v>0</v>
      </c>
      <c r="BZ4" s="215">
        <v>0.193</v>
      </c>
      <c r="CB4" s="216">
        <v>11.0908</v>
      </c>
      <c r="CC4" s="216">
        <v>95.95</v>
      </c>
      <c r="CD4" s="216"/>
      <c r="CE4" s="216"/>
      <c r="CF4" s="216"/>
      <c r="CG4" s="216"/>
      <c r="CH4" s="216"/>
      <c r="CI4" s="216"/>
      <c r="CJ4" s="216"/>
      <c r="CK4" s="216">
        <v>0.32368000000000002</v>
      </c>
      <c r="CL4" s="216">
        <v>6.5240000000000006E-2</v>
      </c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137"/>
      <c r="DA4" s="214"/>
      <c r="DB4" s="214"/>
      <c r="DC4" s="214"/>
      <c r="DD4" s="214">
        <f t="shared" ref="DD4:DD43" si="146">W4</f>
        <v>0</v>
      </c>
      <c r="DE4" s="138" t="b">
        <f t="shared" ref="DE4:DE40" si="147">ROUND(AA4/SUM(T4:U4,Y4:Z4),3)=F4</f>
        <v>1</v>
      </c>
      <c r="DF4" s="219">
        <f t="shared" ref="DF4:DF43" si="148">ROUND(BX4/BO4,8)*DI4</f>
        <v>100000</v>
      </c>
      <c r="DG4" s="217">
        <v>1</v>
      </c>
      <c r="DH4" s="220">
        <f t="shared" ref="DH4:DH8" si="149">DG4*DI4</f>
        <v>100000</v>
      </c>
      <c r="DI4" s="218">
        <v>100000</v>
      </c>
      <c r="DJ4" s="220">
        <f t="shared" ref="DJ4:DJ43" si="150">ROUND(DG4*BO4,0)</f>
        <v>639719</v>
      </c>
      <c r="DK4" s="220" t="b">
        <f t="shared" ref="DK4:DK43" si="151">DJ4=BX4</f>
        <v>1</v>
      </c>
    </row>
    <row r="5" spans="1:115" s="136" customFormat="1" ht="22.5">
      <c r="A5" s="123">
        <f t="shared" ref="A5:A19" si="152">A4+1</f>
        <v>2</v>
      </c>
      <c r="B5" s="201">
        <v>41919</v>
      </c>
      <c r="C5" s="202"/>
      <c r="D5" s="203"/>
      <c r="E5" s="204"/>
      <c r="F5" s="204">
        <v>0.01</v>
      </c>
      <c r="G5" s="205"/>
      <c r="H5" s="141" t="s">
        <v>130</v>
      </c>
      <c r="I5" s="206"/>
      <c r="J5" s="207"/>
      <c r="K5" s="208" t="s">
        <v>250</v>
      </c>
      <c r="L5" s="128" t="s">
        <v>134</v>
      </c>
      <c r="M5" s="210" t="s">
        <v>259</v>
      </c>
      <c r="N5" s="211">
        <f>29982+14233</f>
        <v>44215</v>
      </c>
      <c r="O5" s="211">
        <f>57666-14233</f>
        <v>43433</v>
      </c>
      <c r="P5" s="211">
        <v>529814</v>
      </c>
      <c r="Q5" s="211">
        <v>47398</v>
      </c>
      <c r="R5" s="211">
        <v>25597</v>
      </c>
      <c r="S5" s="129">
        <f t="shared" si="105"/>
        <v>690457</v>
      </c>
      <c r="T5" s="211">
        <f t="shared" ref="T5:T43" si="153">SUM(N5:R5)</f>
        <v>690457</v>
      </c>
      <c r="U5" s="211"/>
      <c r="V5" s="211"/>
      <c r="W5" s="211"/>
      <c r="X5" s="129">
        <f t="shared" si="106"/>
        <v>690457</v>
      </c>
      <c r="Y5" s="130">
        <f t="shared" si="107"/>
        <v>0</v>
      </c>
      <c r="Z5" s="130">
        <f t="shared" si="108"/>
        <v>0</v>
      </c>
      <c r="AA5" s="213">
        <f t="shared" si="109"/>
        <v>6905</v>
      </c>
      <c r="AB5" s="214"/>
      <c r="AC5" s="214"/>
      <c r="AD5" s="214"/>
      <c r="AE5" s="130"/>
      <c r="AF5" s="130"/>
      <c r="AG5" s="130"/>
      <c r="AH5" s="130"/>
      <c r="AI5" s="130"/>
      <c r="AJ5" s="130">
        <f t="shared" si="110"/>
        <v>0</v>
      </c>
      <c r="AK5" s="130">
        <f t="shared" si="111"/>
        <v>690457</v>
      </c>
      <c r="AL5" s="130">
        <f t="shared" si="112"/>
        <v>0</v>
      </c>
      <c r="AM5" s="130">
        <f t="shared" si="113"/>
        <v>0</v>
      </c>
      <c r="AN5" s="130">
        <f t="shared" si="114"/>
        <v>6905</v>
      </c>
      <c r="AO5" s="130">
        <f t="shared" si="115"/>
        <v>697362</v>
      </c>
      <c r="AP5" s="131">
        <f t="shared" si="116"/>
        <v>690457</v>
      </c>
      <c r="AQ5" s="131">
        <f t="shared" si="117"/>
        <v>0</v>
      </c>
      <c r="AR5" s="131">
        <f t="shared" si="118"/>
        <v>0</v>
      </c>
      <c r="AS5" s="131">
        <f t="shared" si="119"/>
        <v>6905</v>
      </c>
      <c r="AT5" s="130">
        <f t="shared" si="120"/>
        <v>697362</v>
      </c>
      <c r="AU5" s="130">
        <f t="shared" si="121"/>
        <v>47642</v>
      </c>
      <c r="AV5" s="130">
        <f t="shared" si="122"/>
        <v>0</v>
      </c>
      <c r="AW5" s="130">
        <f t="shared" si="123"/>
        <v>0</v>
      </c>
      <c r="AX5" s="130">
        <f t="shared" si="124"/>
        <v>476</v>
      </c>
      <c r="AY5" s="130">
        <f t="shared" si="125"/>
        <v>48118</v>
      </c>
      <c r="AZ5" s="130">
        <f t="shared" si="126"/>
        <v>132858</v>
      </c>
      <c r="BA5" s="130">
        <f t="shared" si="127"/>
        <v>0</v>
      </c>
      <c r="BB5" s="130">
        <f t="shared" si="128"/>
        <v>0</v>
      </c>
      <c r="BC5" s="130">
        <f t="shared" si="129"/>
        <v>1329</v>
      </c>
      <c r="BD5" s="130">
        <f t="shared" si="130"/>
        <v>134187</v>
      </c>
      <c r="BE5" s="130">
        <f t="shared" si="131"/>
        <v>0</v>
      </c>
      <c r="BF5" s="130">
        <f t="shared" si="132"/>
        <v>0</v>
      </c>
      <c r="BG5" s="130">
        <f t="shared" si="133"/>
        <v>0</v>
      </c>
      <c r="BH5" s="130">
        <f t="shared" si="134"/>
        <v>0</v>
      </c>
      <c r="BI5" s="130">
        <f t="shared" si="135"/>
        <v>0</v>
      </c>
      <c r="BJ5" s="130">
        <f t="shared" si="136"/>
        <v>0</v>
      </c>
      <c r="BK5" s="130">
        <f t="shared" si="137"/>
        <v>0</v>
      </c>
      <c r="BL5" s="130">
        <f t="shared" si="138"/>
        <v>0</v>
      </c>
      <c r="BM5" s="130">
        <f t="shared" si="139"/>
        <v>0</v>
      </c>
      <c r="BN5" s="130">
        <f t="shared" si="140"/>
        <v>0</v>
      </c>
      <c r="BO5" s="132">
        <f t="shared" si="141"/>
        <v>879667</v>
      </c>
      <c r="BP5" s="215">
        <v>10</v>
      </c>
      <c r="BQ5" s="215">
        <v>11</v>
      </c>
      <c r="BR5" s="215">
        <v>1</v>
      </c>
      <c r="BS5" s="215">
        <v>12</v>
      </c>
      <c r="BT5" s="133">
        <f t="shared" si="142"/>
        <v>41943</v>
      </c>
      <c r="BU5" s="133">
        <f t="shared" si="143"/>
        <v>42186</v>
      </c>
      <c r="BV5" s="134">
        <f>ROUND((1+VLOOKUP(BT5,IF(VLOOKUP(L5,'Расчет инфляции'!$BD$5:$BF$22,3,0)=2,'Расчет инфляции'!$AJ$5:$AK$370,'Расчет инфляции'!$AO$5:$AP$370),2,0))*(1+IF(VLOOKUP(L5,'Расчет инфляции'!$BD$5:$BF$22,3,0)=2,VLOOKUP(H5,'Расчет инфляции'!$BD$25:$BF$52,2,0),VLOOKUP(H5,'Расчет инфляции'!$BD$25:$BF$52,3,0)))-1,4)-IF(VLOOKUP(L5,'Расчет инфляции'!$BD$5:$BF$22,3,0)=2,VLOOKUP(H5,'Расчет инфляции'!$BD$25:$BH$52,4,0),VLOOKUP(H5,'Расчет инфляции'!$BD$25:$BH$52,5,0))</f>
        <v>6.9000000000000006E-2</v>
      </c>
      <c r="BW5" s="135">
        <f>ROUND((1+VLOOKUP(BU5,IF(VLOOKUP(L5,'Расчет инфляции'!$BD$5:$BF$22,3,0)=2,'Расчет инфляции'!$AL$5:$AM$370,'Расчет инфляции'!$AQ$5:$AR$370),2,0))*(1+IF(VLOOKUP(L5,'Расчет инфляции'!$BD$5:$BF$22,3,0)=2,VLOOKUP(H5,'Расчет инфляции'!$BD$25:$HJ$52,6,0),VLOOKUP(H5,'Расчет инфляции'!$BD$25:$HJ$52,7,0)))*(1+IF(VLOOKUP(L5,'Расчет инфляции'!$BD$5:$BF$22,3,0)=2,VLOOKUP(H5,'Расчет инфляции'!$BD$25:$BF$52,2,0),VLOOKUP(H5,'Расчет инфляции'!$BD$25:$BF$52,3,0)))-1,4)</f>
        <v>0.1052</v>
      </c>
      <c r="BX5" s="132">
        <f t="shared" si="144"/>
        <v>879667</v>
      </c>
      <c r="BY5" s="132">
        <f t="shared" si="145"/>
        <v>0</v>
      </c>
      <c r="BZ5" s="215">
        <v>0.19400000000000001</v>
      </c>
      <c r="CB5" s="216">
        <v>10.9361</v>
      </c>
      <c r="CC5" s="216">
        <f>93.9603</f>
        <v>93.960300000000004</v>
      </c>
      <c r="CD5" s="216"/>
      <c r="CE5" s="216">
        <f>12.765+3.2016</f>
        <v>15.9666</v>
      </c>
      <c r="CF5" s="216"/>
      <c r="CG5" s="216"/>
      <c r="CH5" s="216"/>
      <c r="CI5" s="216"/>
      <c r="CJ5" s="216"/>
      <c r="CK5" s="216">
        <f>0.4061126+0.0003864</f>
        <v>0.406499</v>
      </c>
      <c r="CL5" s="216">
        <v>6.4329999999999998E-2</v>
      </c>
      <c r="CM5" s="216"/>
      <c r="CN5" s="216"/>
      <c r="CO5" s="216">
        <f>58.3676</f>
        <v>58.367600000000003</v>
      </c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137"/>
      <c r="DA5" s="214"/>
      <c r="DB5" s="214"/>
      <c r="DC5" s="214"/>
      <c r="DD5" s="214">
        <f t="shared" si="146"/>
        <v>0</v>
      </c>
      <c r="DE5" s="138" t="b">
        <f t="shared" si="147"/>
        <v>1</v>
      </c>
      <c r="DF5" s="219">
        <f t="shared" si="148"/>
        <v>100000</v>
      </c>
      <c r="DG5" s="217">
        <v>1</v>
      </c>
      <c r="DH5" s="220">
        <f t="shared" si="149"/>
        <v>100000</v>
      </c>
      <c r="DI5" s="218">
        <v>100000</v>
      </c>
      <c r="DJ5" s="220">
        <f t="shared" si="150"/>
        <v>879667</v>
      </c>
      <c r="DK5" s="220" t="b">
        <f t="shared" si="151"/>
        <v>1</v>
      </c>
    </row>
    <row r="6" spans="1:115" s="136" customFormat="1">
      <c r="A6" s="123">
        <f t="shared" si="152"/>
        <v>3</v>
      </c>
      <c r="B6" s="201"/>
      <c r="C6" s="202"/>
      <c r="D6" s="203"/>
      <c r="E6" s="204"/>
      <c r="F6" s="204">
        <v>0.01</v>
      </c>
      <c r="G6" s="205"/>
      <c r="H6" s="141" t="s">
        <v>130</v>
      </c>
      <c r="I6" s="206"/>
      <c r="J6" s="207"/>
      <c r="K6" s="208"/>
      <c r="L6" s="128" t="s">
        <v>134</v>
      </c>
      <c r="M6" s="210"/>
      <c r="N6" s="211"/>
      <c r="O6" s="211"/>
      <c r="P6" s="211"/>
      <c r="Q6" s="211"/>
      <c r="R6" s="211"/>
      <c r="S6" s="129">
        <f t="shared" si="105"/>
        <v>0</v>
      </c>
      <c r="T6" s="211">
        <f t="shared" si="153"/>
        <v>0</v>
      </c>
      <c r="U6" s="211"/>
      <c r="V6" s="211"/>
      <c r="W6" s="211"/>
      <c r="X6" s="129">
        <f t="shared" si="106"/>
        <v>0</v>
      </c>
      <c r="Y6" s="130">
        <f t="shared" si="107"/>
        <v>0</v>
      </c>
      <c r="Z6" s="130">
        <f t="shared" si="108"/>
        <v>0</v>
      </c>
      <c r="AA6" s="213">
        <f t="shared" si="109"/>
        <v>0</v>
      </c>
      <c r="AB6" s="214"/>
      <c r="AC6" s="214"/>
      <c r="AD6" s="214"/>
      <c r="AE6" s="130"/>
      <c r="AF6" s="130"/>
      <c r="AG6" s="130"/>
      <c r="AH6" s="130"/>
      <c r="AI6" s="130"/>
      <c r="AJ6" s="130">
        <f t="shared" si="110"/>
        <v>0</v>
      </c>
      <c r="AK6" s="130">
        <f t="shared" si="111"/>
        <v>0</v>
      </c>
      <c r="AL6" s="130">
        <f t="shared" si="112"/>
        <v>0</v>
      </c>
      <c r="AM6" s="130">
        <f t="shared" si="113"/>
        <v>0</v>
      </c>
      <c r="AN6" s="130">
        <f t="shared" si="114"/>
        <v>0</v>
      </c>
      <c r="AO6" s="130">
        <f t="shared" si="115"/>
        <v>0</v>
      </c>
      <c r="AP6" s="131">
        <f t="shared" si="116"/>
        <v>0</v>
      </c>
      <c r="AQ6" s="131">
        <f t="shared" si="117"/>
        <v>0</v>
      </c>
      <c r="AR6" s="131">
        <f t="shared" si="118"/>
        <v>0</v>
      </c>
      <c r="AS6" s="131">
        <f t="shared" si="119"/>
        <v>0</v>
      </c>
      <c r="AT6" s="130">
        <f t="shared" si="120"/>
        <v>0</v>
      </c>
      <c r="AU6" s="130">
        <f t="shared" si="121"/>
        <v>0</v>
      </c>
      <c r="AV6" s="130">
        <f t="shared" si="122"/>
        <v>0</v>
      </c>
      <c r="AW6" s="130">
        <f t="shared" si="123"/>
        <v>0</v>
      </c>
      <c r="AX6" s="130">
        <f t="shared" si="124"/>
        <v>0</v>
      </c>
      <c r="AY6" s="130">
        <f t="shared" si="125"/>
        <v>0</v>
      </c>
      <c r="AZ6" s="130">
        <f t="shared" si="126"/>
        <v>0</v>
      </c>
      <c r="BA6" s="130">
        <f t="shared" si="127"/>
        <v>0</v>
      </c>
      <c r="BB6" s="130">
        <f t="shared" si="128"/>
        <v>0</v>
      </c>
      <c r="BC6" s="130">
        <f t="shared" si="129"/>
        <v>0</v>
      </c>
      <c r="BD6" s="130">
        <f t="shared" si="130"/>
        <v>0</v>
      </c>
      <c r="BE6" s="130">
        <f t="shared" si="131"/>
        <v>0</v>
      </c>
      <c r="BF6" s="130">
        <f t="shared" si="132"/>
        <v>0</v>
      </c>
      <c r="BG6" s="130">
        <f t="shared" si="133"/>
        <v>0</v>
      </c>
      <c r="BH6" s="130">
        <f t="shared" si="134"/>
        <v>0</v>
      </c>
      <c r="BI6" s="130">
        <f t="shared" si="135"/>
        <v>0</v>
      </c>
      <c r="BJ6" s="130">
        <f t="shared" si="136"/>
        <v>0</v>
      </c>
      <c r="BK6" s="130">
        <f t="shared" si="137"/>
        <v>0</v>
      </c>
      <c r="BL6" s="130">
        <f t="shared" si="138"/>
        <v>0</v>
      </c>
      <c r="BM6" s="130">
        <f t="shared" si="139"/>
        <v>0</v>
      </c>
      <c r="BN6" s="130">
        <f t="shared" si="140"/>
        <v>0</v>
      </c>
      <c r="BO6" s="132">
        <f t="shared" si="141"/>
        <v>0</v>
      </c>
      <c r="BP6" s="215">
        <v>6</v>
      </c>
      <c r="BQ6" s="215">
        <v>7</v>
      </c>
      <c r="BR6" s="215">
        <v>1</v>
      </c>
      <c r="BS6" s="215">
        <v>12</v>
      </c>
      <c r="BT6" s="133">
        <f t="shared" si="142"/>
        <v>41820</v>
      </c>
      <c r="BU6" s="133">
        <f t="shared" si="143"/>
        <v>42186</v>
      </c>
      <c r="BV6" s="134">
        <f>ROUND((1+VLOOKUP(BT6,IF(VLOOKUP(L6,'Расчет инфляции'!$BD$5:$BF$22,3,0)=2,'Расчет инфляции'!$AJ$5:$AK$370,'Расчет инфляции'!$AO$5:$AP$370),2,0))*(1+IF(VLOOKUP(L6,'Расчет инфляции'!$BD$5:$BF$22,3,0)=2,VLOOKUP(H6,'Расчет инфляции'!$BD$25:$BF$52,2,0),VLOOKUP(H6,'Расчет инфляции'!$BD$25:$BF$52,3,0)))-1,4)-IF(VLOOKUP(L6,'Расчет инфляции'!$BD$5:$BF$22,3,0)=2,VLOOKUP(H6,'Расчет инфляции'!$BD$25:$BH$52,4,0),VLOOKUP(H6,'Расчет инфляции'!$BD$25:$BH$52,5,0))</f>
        <v>5.16E-2</v>
      </c>
      <c r="BW6" s="135">
        <f>ROUND((1+VLOOKUP(BU6,IF(VLOOKUP(L6,'Расчет инфляции'!$BD$5:$BF$22,3,0)=2,'Расчет инфляции'!$AL$5:$AM$370,'Расчет инфляции'!$AQ$5:$AR$370),2,0))*(1+IF(VLOOKUP(L6,'Расчет инфляции'!$BD$5:$BF$22,3,0)=2,VLOOKUP(H6,'Расчет инфляции'!$BD$25:$HJ$52,6,0),VLOOKUP(H6,'Расчет инфляции'!$BD$25:$HJ$52,7,0)))*(1+IF(VLOOKUP(L6,'Расчет инфляции'!$BD$5:$BF$22,3,0)=2,VLOOKUP(H6,'Расчет инфляции'!$BD$25:$BF$52,2,0),VLOOKUP(H6,'Расчет инфляции'!$BD$25:$BF$52,3,0)))-1,4)</f>
        <v>0.1052</v>
      </c>
      <c r="BX6" s="132">
        <f t="shared" si="144"/>
        <v>0</v>
      </c>
      <c r="BY6" s="132">
        <f t="shared" si="145"/>
        <v>0</v>
      </c>
      <c r="BZ6" s="215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137"/>
      <c r="DA6" s="214"/>
      <c r="DB6" s="214"/>
      <c r="DC6" s="214"/>
      <c r="DD6" s="214">
        <f t="shared" si="146"/>
        <v>0</v>
      </c>
      <c r="DE6" s="138" t="e">
        <f t="shared" si="147"/>
        <v>#DIV/0!</v>
      </c>
      <c r="DF6" s="219" t="e">
        <f t="shared" si="148"/>
        <v>#DIV/0!</v>
      </c>
      <c r="DG6" s="217">
        <v>1</v>
      </c>
      <c r="DH6" s="220">
        <f t="shared" si="149"/>
        <v>100000</v>
      </c>
      <c r="DI6" s="218">
        <v>100000</v>
      </c>
      <c r="DJ6" s="220">
        <f t="shared" si="150"/>
        <v>0</v>
      </c>
      <c r="DK6" s="220" t="b">
        <f t="shared" si="151"/>
        <v>1</v>
      </c>
    </row>
    <row r="7" spans="1:115" s="136" customFormat="1">
      <c r="A7" s="123">
        <f t="shared" si="152"/>
        <v>4</v>
      </c>
      <c r="B7" s="201"/>
      <c r="C7" s="202"/>
      <c r="D7" s="203"/>
      <c r="E7" s="204"/>
      <c r="F7" s="204">
        <v>0.01</v>
      </c>
      <c r="G7" s="205"/>
      <c r="H7" s="141" t="s">
        <v>130</v>
      </c>
      <c r="I7" s="206"/>
      <c r="J7" s="207"/>
      <c r="K7" s="208"/>
      <c r="L7" s="128" t="s">
        <v>134</v>
      </c>
      <c r="M7" s="210"/>
      <c r="N7" s="211"/>
      <c r="O7" s="211"/>
      <c r="P7" s="211"/>
      <c r="Q7" s="211"/>
      <c r="R7" s="211"/>
      <c r="S7" s="129">
        <f t="shared" si="105"/>
        <v>0</v>
      </c>
      <c r="T7" s="211">
        <f t="shared" si="153"/>
        <v>0</v>
      </c>
      <c r="U7" s="211"/>
      <c r="V7" s="211"/>
      <c r="W7" s="211"/>
      <c r="X7" s="129">
        <f t="shared" si="106"/>
        <v>0</v>
      </c>
      <c r="Y7" s="130">
        <f t="shared" si="107"/>
        <v>0</v>
      </c>
      <c r="Z7" s="130">
        <f t="shared" si="108"/>
        <v>0</v>
      </c>
      <c r="AA7" s="213">
        <f t="shared" si="109"/>
        <v>0</v>
      </c>
      <c r="AB7" s="214"/>
      <c r="AC7" s="214"/>
      <c r="AD7" s="214"/>
      <c r="AE7" s="130"/>
      <c r="AF7" s="130"/>
      <c r="AG7" s="130"/>
      <c r="AH7" s="130"/>
      <c r="AI7" s="130"/>
      <c r="AJ7" s="130">
        <f t="shared" si="110"/>
        <v>0</v>
      </c>
      <c r="AK7" s="130">
        <f t="shared" si="111"/>
        <v>0</v>
      </c>
      <c r="AL7" s="130">
        <f t="shared" si="112"/>
        <v>0</v>
      </c>
      <c r="AM7" s="130">
        <f t="shared" si="113"/>
        <v>0</v>
      </c>
      <c r="AN7" s="130">
        <f t="shared" si="114"/>
        <v>0</v>
      </c>
      <c r="AO7" s="130">
        <f t="shared" si="115"/>
        <v>0</v>
      </c>
      <c r="AP7" s="131">
        <f t="shared" si="116"/>
        <v>0</v>
      </c>
      <c r="AQ7" s="131">
        <f t="shared" si="117"/>
        <v>0</v>
      </c>
      <c r="AR7" s="131">
        <f t="shared" si="118"/>
        <v>0</v>
      </c>
      <c r="AS7" s="131">
        <f t="shared" si="119"/>
        <v>0</v>
      </c>
      <c r="AT7" s="130">
        <f t="shared" si="120"/>
        <v>0</v>
      </c>
      <c r="AU7" s="130">
        <f t="shared" si="121"/>
        <v>0</v>
      </c>
      <c r="AV7" s="130">
        <f t="shared" si="122"/>
        <v>0</v>
      </c>
      <c r="AW7" s="130">
        <f t="shared" si="123"/>
        <v>0</v>
      </c>
      <c r="AX7" s="130">
        <f t="shared" si="124"/>
        <v>0</v>
      </c>
      <c r="AY7" s="130">
        <f t="shared" si="125"/>
        <v>0</v>
      </c>
      <c r="AZ7" s="130">
        <f t="shared" si="126"/>
        <v>0</v>
      </c>
      <c r="BA7" s="130">
        <f t="shared" si="127"/>
        <v>0</v>
      </c>
      <c r="BB7" s="130">
        <f t="shared" si="128"/>
        <v>0</v>
      </c>
      <c r="BC7" s="130">
        <f t="shared" si="129"/>
        <v>0</v>
      </c>
      <c r="BD7" s="130">
        <f t="shared" si="130"/>
        <v>0</v>
      </c>
      <c r="BE7" s="130">
        <f t="shared" si="131"/>
        <v>0</v>
      </c>
      <c r="BF7" s="130">
        <f t="shared" si="132"/>
        <v>0</v>
      </c>
      <c r="BG7" s="130">
        <f t="shared" si="133"/>
        <v>0</v>
      </c>
      <c r="BH7" s="130">
        <f t="shared" si="134"/>
        <v>0</v>
      </c>
      <c r="BI7" s="130">
        <f t="shared" si="135"/>
        <v>0</v>
      </c>
      <c r="BJ7" s="130">
        <f t="shared" si="136"/>
        <v>0</v>
      </c>
      <c r="BK7" s="130">
        <f t="shared" si="137"/>
        <v>0</v>
      </c>
      <c r="BL7" s="130">
        <f t="shared" si="138"/>
        <v>0</v>
      </c>
      <c r="BM7" s="130">
        <f t="shared" si="139"/>
        <v>0</v>
      </c>
      <c r="BN7" s="130">
        <f t="shared" si="140"/>
        <v>0</v>
      </c>
      <c r="BO7" s="132">
        <f t="shared" si="141"/>
        <v>0</v>
      </c>
      <c r="BP7" s="215">
        <v>6</v>
      </c>
      <c r="BQ7" s="215">
        <v>7</v>
      </c>
      <c r="BR7" s="215">
        <v>1</v>
      </c>
      <c r="BS7" s="215">
        <v>12</v>
      </c>
      <c r="BT7" s="133">
        <f t="shared" si="142"/>
        <v>41820</v>
      </c>
      <c r="BU7" s="133">
        <f t="shared" si="143"/>
        <v>42186</v>
      </c>
      <c r="BV7" s="134">
        <f>ROUND((1+VLOOKUP(BT7,IF(VLOOKUP(L7,'Расчет инфляции'!$BD$5:$BF$22,3,0)=2,'Расчет инфляции'!$AJ$5:$AK$370,'Расчет инфляции'!$AO$5:$AP$370),2,0))*(1+IF(VLOOKUP(L7,'Расчет инфляции'!$BD$5:$BF$22,3,0)=2,VLOOKUP(H7,'Расчет инфляции'!$BD$25:$BF$52,2,0),VLOOKUP(H7,'Расчет инфляции'!$BD$25:$BF$52,3,0)))-1,4)-IF(VLOOKUP(L7,'Расчет инфляции'!$BD$5:$BF$22,3,0)=2,VLOOKUP(H7,'Расчет инфляции'!$BD$25:$BH$52,4,0),VLOOKUP(H7,'Расчет инфляции'!$BD$25:$BH$52,5,0))</f>
        <v>5.16E-2</v>
      </c>
      <c r="BW7" s="135">
        <f>ROUND((1+VLOOKUP(BU7,IF(VLOOKUP(L7,'Расчет инфляции'!$BD$5:$BF$22,3,0)=2,'Расчет инфляции'!$AL$5:$AM$370,'Расчет инфляции'!$AQ$5:$AR$370),2,0))*(1+IF(VLOOKUP(L7,'Расчет инфляции'!$BD$5:$BF$22,3,0)=2,VLOOKUP(H7,'Расчет инфляции'!$BD$25:$HJ$52,6,0),VLOOKUP(H7,'Расчет инфляции'!$BD$25:$HJ$52,7,0)))*(1+IF(VLOOKUP(L7,'Расчет инфляции'!$BD$5:$BF$22,3,0)=2,VLOOKUP(H7,'Расчет инфляции'!$BD$25:$BF$52,2,0),VLOOKUP(H7,'Расчет инфляции'!$BD$25:$BF$52,3,0)))-1,4)</f>
        <v>0.1052</v>
      </c>
      <c r="BX7" s="132">
        <f t="shared" si="144"/>
        <v>0</v>
      </c>
      <c r="BY7" s="132">
        <f t="shared" si="145"/>
        <v>0</v>
      </c>
      <c r="BZ7" s="215"/>
      <c r="CB7" s="216"/>
      <c r="CC7" s="216"/>
      <c r="CD7" s="216"/>
      <c r="CE7" s="216"/>
      <c r="CF7" s="216"/>
      <c r="CG7" s="216"/>
      <c r="CH7" s="216"/>
      <c r="CI7" s="216"/>
      <c r="CJ7" s="216"/>
      <c r="CK7" s="216"/>
      <c r="CL7" s="216"/>
      <c r="CM7" s="216"/>
      <c r="CN7" s="216"/>
      <c r="CO7" s="216"/>
      <c r="CP7" s="216"/>
      <c r="CQ7" s="216"/>
      <c r="CR7" s="216"/>
      <c r="CS7" s="216"/>
      <c r="CT7" s="216"/>
      <c r="CU7" s="216"/>
      <c r="CV7" s="216"/>
      <c r="CW7" s="216"/>
      <c r="CX7" s="216"/>
      <c r="CY7" s="216"/>
      <c r="CZ7" s="137"/>
      <c r="DA7" s="214"/>
      <c r="DB7" s="214"/>
      <c r="DC7" s="214"/>
      <c r="DD7" s="214">
        <f t="shared" si="146"/>
        <v>0</v>
      </c>
      <c r="DE7" s="138" t="e">
        <f t="shared" si="147"/>
        <v>#DIV/0!</v>
      </c>
      <c r="DF7" s="219" t="e">
        <f t="shared" si="148"/>
        <v>#DIV/0!</v>
      </c>
      <c r="DG7" s="217">
        <v>1</v>
      </c>
      <c r="DH7" s="220">
        <f t="shared" si="149"/>
        <v>100000</v>
      </c>
      <c r="DI7" s="218">
        <v>100000</v>
      </c>
      <c r="DJ7" s="220">
        <f t="shared" si="150"/>
        <v>0</v>
      </c>
      <c r="DK7" s="220" t="b">
        <f t="shared" si="151"/>
        <v>1</v>
      </c>
    </row>
    <row r="8" spans="1:115" s="136" customFormat="1">
      <c r="A8" s="123">
        <f t="shared" si="152"/>
        <v>5</v>
      </c>
      <c r="B8" s="201"/>
      <c r="C8" s="202"/>
      <c r="D8" s="203"/>
      <c r="E8" s="204"/>
      <c r="F8" s="204">
        <v>0.01</v>
      </c>
      <c r="G8" s="205"/>
      <c r="H8" s="141" t="s">
        <v>130</v>
      </c>
      <c r="I8" s="206"/>
      <c r="J8" s="207"/>
      <c r="K8" s="208"/>
      <c r="L8" s="128" t="s">
        <v>134</v>
      </c>
      <c r="M8" s="210"/>
      <c r="N8" s="211"/>
      <c r="O8" s="211"/>
      <c r="P8" s="211"/>
      <c r="Q8" s="211"/>
      <c r="R8" s="211"/>
      <c r="S8" s="129">
        <f t="shared" si="105"/>
        <v>0</v>
      </c>
      <c r="T8" s="211">
        <f t="shared" si="153"/>
        <v>0</v>
      </c>
      <c r="U8" s="211"/>
      <c r="V8" s="211"/>
      <c r="W8" s="211"/>
      <c r="X8" s="129">
        <f t="shared" si="106"/>
        <v>0</v>
      </c>
      <c r="Y8" s="130">
        <f t="shared" si="107"/>
        <v>0</v>
      </c>
      <c r="Z8" s="130">
        <f t="shared" si="108"/>
        <v>0</v>
      </c>
      <c r="AA8" s="213">
        <f t="shared" si="109"/>
        <v>0</v>
      </c>
      <c r="AB8" s="214"/>
      <c r="AC8" s="214"/>
      <c r="AD8" s="214"/>
      <c r="AE8" s="130"/>
      <c r="AF8" s="130"/>
      <c r="AG8" s="130"/>
      <c r="AH8" s="130"/>
      <c r="AI8" s="130"/>
      <c r="AJ8" s="130">
        <f t="shared" si="110"/>
        <v>0</v>
      </c>
      <c r="AK8" s="130">
        <f t="shared" si="111"/>
        <v>0</v>
      </c>
      <c r="AL8" s="130">
        <f t="shared" si="112"/>
        <v>0</v>
      </c>
      <c r="AM8" s="130">
        <f t="shared" si="113"/>
        <v>0</v>
      </c>
      <c r="AN8" s="130">
        <f t="shared" si="114"/>
        <v>0</v>
      </c>
      <c r="AO8" s="130">
        <f t="shared" si="115"/>
        <v>0</v>
      </c>
      <c r="AP8" s="131">
        <f t="shared" si="116"/>
        <v>0</v>
      </c>
      <c r="AQ8" s="131">
        <f t="shared" si="117"/>
        <v>0</v>
      </c>
      <c r="AR8" s="131">
        <f t="shared" si="118"/>
        <v>0</v>
      </c>
      <c r="AS8" s="131">
        <f t="shared" si="119"/>
        <v>0</v>
      </c>
      <c r="AT8" s="130">
        <f t="shared" si="120"/>
        <v>0</v>
      </c>
      <c r="AU8" s="130">
        <f t="shared" si="121"/>
        <v>0</v>
      </c>
      <c r="AV8" s="130">
        <f t="shared" si="122"/>
        <v>0</v>
      </c>
      <c r="AW8" s="130">
        <f t="shared" si="123"/>
        <v>0</v>
      </c>
      <c r="AX8" s="130">
        <f t="shared" si="124"/>
        <v>0</v>
      </c>
      <c r="AY8" s="130">
        <f t="shared" si="125"/>
        <v>0</v>
      </c>
      <c r="AZ8" s="130">
        <f t="shared" si="126"/>
        <v>0</v>
      </c>
      <c r="BA8" s="130">
        <f t="shared" si="127"/>
        <v>0</v>
      </c>
      <c r="BB8" s="130">
        <f t="shared" si="128"/>
        <v>0</v>
      </c>
      <c r="BC8" s="130">
        <f t="shared" si="129"/>
        <v>0</v>
      </c>
      <c r="BD8" s="130">
        <f t="shared" si="130"/>
        <v>0</v>
      </c>
      <c r="BE8" s="130">
        <f t="shared" si="131"/>
        <v>0</v>
      </c>
      <c r="BF8" s="130">
        <f t="shared" si="132"/>
        <v>0</v>
      </c>
      <c r="BG8" s="130">
        <f t="shared" si="133"/>
        <v>0</v>
      </c>
      <c r="BH8" s="130">
        <f t="shared" si="134"/>
        <v>0</v>
      </c>
      <c r="BI8" s="130">
        <f t="shared" si="135"/>
        <v>0</v>
      </c>
      <c r="BJ8" s="130">
        <f t="shared" si="136"/>
        <v>0</v>
      </c>
      <c r="BK8" s="130">
        <f t="shared" si="137"/>
        <v>0</v>
      </c>
      <c r="BL8" s="130">
        <f t="shared" si="138"/>
        <v>0</v>
      </c>
      <c r="BM8" s="130">
        <f t="shared" si="139"/>
        <v>0</v>
      </c>
      <c r="BN8" s="130">
        <f t="shared" si="140"/>
        <v>0</v>
      </c>
      <c r="BO8" s="132">
        <f t="shared" si="141"/>
        <v>0</v>
      </c>
      <c r="BP8" s="215">
        <v>6</v>
      </c>
      <c r="BQ8" s="215">
        <v>7</v>
      </c>
      <c r="BR8" s="215">
        <v>1</v>
      </c>
      <c r="BS8" s="215">
        <v>12</v>
      </c>
      <c r="BT8" s="133">
        <f t="shared" si="142"/>
        <v>41820</v>
      </c>
      <c r="BU8" s="133">
        <f t="shared" si="143"/>
        <v>42186</v>
      </c>
      <c r="BV8" s="134">
        <f>ROUND((1+VLOOKUP(BT8,IF(VLOOKUP(L8,'Расчет инфляции'!$BD$5:$BF$22,3,0)=2,'Расчет инфляции'!$AJ$5:$AK$370,'Расчет инфляции'!$AO$5:$AP$370),2,0))*(1+IF(VLOOKUP(L8,'Расчет инфляции'!$BD$5:$BF$22,3,0)=2,VLOOKUP(H8,'Расчет инфляции'!$BD$25:$BF$52,2,0),VLOOKUP(H8,'Расчет инфляции'!$BD$25:$BF$52,3,0)))-1,4)-IF(VLOOKUP(L8,'Расчет инфляции'!$BD$5:$BF$22,3,0)=2,VLOOKUP(H8,'Расчет инфляции'!$BD$25:$BH$52,4,0),VLOOKUP(H8,'Расчет инфляции'!$BD$25:$BH$52,5,0))</f>
        <v>5.16E-2</v>
      </c>
      <c r="BW8" s="135">
        <f>ROUND((1+VLOOKUP(BU8,IF(VLOOKUP(L8,'Расчет инфляции'!$BD$5:$BF$22,3,0)=2,'Расчет инфляции'!$AL$5:$AM$370,'Расчет инфляции'!$AQ$5:$AR$370),2,0))*(1+IF(VLOOKUP(L8,'Расчет инфляции'!$BD$5:$BF$22,3,0)=2,VLOOKUP(H8,'Расчет инфляции'!$BD$25:$HJ$52,6,0),VLOOKUP(H8,'Расчет инфляции'!$BD$25:$HJ$52,7,0)))*(1+IF(VLOOKUP(L8,'Расчет инфляции'!$BD$5:$BF$22,3,0)=2,VLOOKUP(H8,'Расчет инфляции'!$BD$25:$BF$52,2,0),VLOOKUP(H8,'Расчет инфляции'!$BD$25:$BF$52,3,0)))-1,4)</f>
        <v>0.1052</v>
      </c>
      <c r="BX8" s="132">
        <f t="shared" si="144"/>
        <v>0</v>
      </c>
      <c r="BY8" s="132">
        <f t="shared" si="145"/>
        <v>0</v>
      </c>
      <c r="BZ8" s="215"/>
      <c r="CB8" s="216"/>
      <c r="CC8" s="216"/>
      <c r="CD8" s="216"/>
      <c r="CE8" s="216"/>
      <c r="CF8" s="216"/>
      <c r="CG8" s="216"/>
      <c r="CH8" s="216"/>
      <c r="CI8" s="216"/>
      <c r="CJ8" s="216"/>
      <c r="CK8" s="216"/>
      <c r="CL8" s="216"/>
      <c r="CM8" s="216"/>
      <c r="CN8" s="216"/>
      <c r="CO8" s="216"/>
      <c r="CP8" s="216"/>
      <c r="CQ8" s="216"/>
      <c r="CR8" s="216"/>
      <c r="CS8" s="216"/>
      <c r="CT8" s="216"/>
      <c r="CU8" s="216"/>
      <c r="CV8" s="216"/>
      <c r="CW8" s="216"/>
      <c r="CX8" s="216"/>
      <c r="CY8" s="216"/>
      <c r="CZ8" s="137"/>
      <c r="DA8" s="214"/>
      <c r="DB8" s="214"/>
      <c r="DC8" s="214"/>
      <c r="DD8" s="214">
        <f t="shared" si="146"/>
        <v>0</v>
      </c>
      <c r="DE8" s="138" t="e">
        <f t="shared" si="147"/>
        <v>#DIV/0!</v>
      </c>
      <c r="DF8" s="219" t="e">
        <f t="shared" si="148"/>
        <v>#DIV/0!</v>
      </c>
      <c r="DG8" s="217">
        <v>1</v>
      </c>
      <c r="DH8" s="220">
        <f t="shared" si="149"/>
        <v>100000</v>
      </c>
      <c r="DI8" s="218">
        <v>100000</v>
      </c>
      <c r="DJ8" s="220">
        <f t="shared" si="150"/>
        <v>0</v>
      </c>
      <c r="DK8" s="220" t="b">
        <f t="shared" si="151"/>
        <v>1</v>
      </c>
    </row>
    <row r="9" spans="1:115" s="136" customFormat="1">
      <c r="A9" s="123">
        <f t="shared" si="152"/>
        <v>6</v>
      </c>
      <c r="B9" s="201"/>
      <c r="C9" s="202"/>
      <c r="D9" s="203"/>
      <c r="E9" s="204"/>
      <c r="F9" s="204">
        <v>0.01</v>
      </c>
      <c r="G9" s="205"/>
      <c r="H9" s="141" t="s">
        <v>130</v>
      </c>
      <c r="I9" s="206"/>
      <c r="J9" s="207"/>
      <c r="K9" s="208"/>
      <c r="L9" s="128" t="s">
        <v>134</v>
      </c>
      <c r="M9" s="210"/>
      <c r="N9" s="211"/>
      <c r="O9" s="211"/>
      <c r="P9" s="211"/>
      <c r="Q9" s="211"/>
      <c r="R9" s="211"/>
      <c r="S9" s="129">
        <f t="shared" ref="S9:S13" si="154">SUM(N9:R9)</f>
        <v>0</v>
      </c>
      <c r="T9" s="211">
        <f t="shared" si="153"/>
        <v>0</v>
      </c>
      <c r="U9" s="211"/>
      <c r="V9" s="211"/>
      <c r="W9" s="211"/>
      <c r="X9" s="129">
        <f t="shared" ref="X9:X13" si="155">SUM(T9:W9)</f>
        <v>0</v>
      </c>
      <c r="Y9" s="130">
        <f t="shared" ref="Y9:Y13" si="156">ROUND($E9*T9,0)</f>
        <v>0</v>
      </c>
      <c r="Z9" s="130">
        <f t="shared" ref="Z9:Z13" si="157">ROUND($E9*U9,0)</f>
        <v>0</v>
      </c>
      <c r="AA9" s="213">
        <f t="shared" si="109"/>
        <v>0</v>
      </c>
      <c r="AB9" s="214"/>
      <c r="AC9" s="214"/>
      <c r="AD9" s="214"/>
      <c r="AE9" s="130"/>
      <c r="AF9" s="130"/>
      <c r="AG9" s="130"/>
      <c r="AH9" s="130"/>
      <c r="AI9" s="130"/>
      <c r="AJ9" s="130">
        <f t="shared" ref="AJ9:AJ13" si="158">ROUND(SUM(AF9:AI9),0)</f>
        <v>0</v>
      </c>
      <c r="AK9" s="130">
        <f t="shared" ref="AK9:AK13" si="159">T9+Y9+AB9+AF9</f>
        <v>0</v>
      </c>
      <c r="AL9" s="130">
        <f t="shared" ref="AL9:AL13" si="160">U9+Z9+AC9+AG9</f>
        <v>0</v>
      </c>
      <c r="AM9" s="130">
        <f t="shared" ref="AM9:AM13" si="161">V9+AH9</f>
        <v>0</v>
      </c>
      <c r="AN9" s="130">
        <f t="shared" ref="AN9:AN13" si="162">W9+AA9+AD9+AE9+AI9</f>
        <v>0</v>
      </c>
      <c r="AO9" s="130">
        <f t="shared" ref="AO9:AO13" si="163">SUM(AK9:AN9)</f>
        <v>0</v>
      </c>
      <c r="AP9" s="131">
        <f t="shared" si="116"/>
        <v>0</v>
      </c>
      <c r="AQ9" s="131">
        <f t="shared" si="117"/>
        <v>0</v>
      </c>
      <c r="AR9" s="131">
        <f t="shared" si="118"/>
        <v>0</v>
      </c>
      <c r="AS9" s="131">
        <f t="shared" si="119"/>
        <v>0</v>
      </c>
      <c r="AT9" s="130">
        <f t="shared" ref="AT9:AT13" si="164">SUM(AP9:AS9)</f>
        <v>0</v>
      </c>
      <c r="AU9" s="130">
        <f t="shared" si="121"/>
        <v>0</v>
      </c>
      <c r="AV9" s="130">
        <f t="shared" si="122"/>
        <v>0</v>
      </c>
      <c r="AW9" s="130">
        <f t="shared" si="123"/>
        <v>0</v>
      </c>
      <c r="AX9" s="130">
        <f t="shared" si="124"/>
        <v>0</v>
      </c>
      <c r="AY9" s="130">
        <f t="shared" ref="AY9:AY13" si="165">SUM(AU9:AX9)</f>
        <v>0</v>
      </c>
      <c r="AZ9" s="130">
        <f t="shared" ref="AZ9:AZ13" si="166">ROUND(18%*SUM(AP9,AU9),0)</f>
        <v>0</v>
      </c>
      <c r="BA9" s="130">
        <f t="shared" ref="BA9:BA13" si="167">ROUND(18%*SUM(AQ9,AV9),0)</f>
        <v>0</v>
      </c>
      <c r="BB9" s="130">
        <f t="shared" ref="BB9:BB13" si="168">ROUND(18%*SUM(AR9,AW9),0)</f>
        <v>0</v>
      </c>
      <c r="BC9" s="130">
        <f t="shared" ref="BC9:BC13" si="169">ROUND(18%*SUM(AS9,AX9),0)</f>
        <v>0</v>
      </c>
      <c r="BD9" s="130">
        <f t="shared" ref="BD9:BD13" si="170">SUM(AZ9:BC9)</f>
        <v>0</v>
      </c>
      <c r="BE9" s="130">
        <f t="shared" si="131"/>
        <v>0</v>
      </c>
      <c r="BF9" s="130">
        <f t="shared" si="132"/>
        <v>0</v>
      </c>
      <c r="BG9" s="130">
        <f t="shared" si="133"/>
        <v>0</v>
      </c>
      <c r="BH9" s="130">
        <f t="shared" si="134"/>
        <v>0</v>
      </c>
      <c r="BI9" s="130">
        <f t="shared" ref="BI9:BI13" si="171">SUM(BE9:BH9)</f>
        <v>0</v>
      </c>
      <c r="BJ9" s="130">
        <f t="shared" ref="BJ9:BJ13" si="172">ROUND(18%*(AK9-AP9+BE9),0)</f>
        <v>0</v>
      </c>
      <c r="BK9" s="130">
        <f t="shared" ref="BK9:BK13" si="173">ROUND(18%*(AL9-AQ9+BF9),0)</f>
        <v>0</v>
      </c>
      <c r="BL9" s="130">
        <f t="shared" ref="BL9:BL13" si="174">ROUND(18%*(AM9-AR9+BG9),0)</f>
        <v>0</v>
      </c>
      <c r="BM9" s="130">
        <f t="shared" ref="BM9:BM13" si="175">ROUND(18%*(AN9-AS9+BH9),0)</f>
        <v>0</v>
      </c>
      <c r="BN9" s="130">
        <f t="shared" ref="BN9:BN13" si="176">SUM(BJ9:BM9)</f>
        <v>0</v>
      </c>
      <c r="BO9" s="132">
        <f t="shared" ref="BO9:BO13" si="177">SUM(AO9,AY9,BD9,BI9,BN9)</f>
        <v>0</v>
      </c>
      <c r="BP9" s="215">
        <v>1</v>
      </c>
      <c r="BQ9" s="215">
        <v>12</v>
      </c>
      <c r="BR9" s="215">
        <v>1</v>
      </c>
      <c r="BS9" s="215">
        <v>12</v>
      </c>
      <c r="BT9" s="133">
        <f t="shared" ref="BT9:BT13" si="178">ROUND((CONCATENATE("15.",BQ9,".2014")-CONCATENATE("15.",BP9,".2014"))/2,0)+CONCATENATE("15.",BP9,".2014")</f>
        <v>41821</v>
      </c>
      <c r="BU9" s="133">
        <f t="shared" ref="BU9:BU13" si="179">ROUND((CONCATENATE("15.",BS9,".2015")-CONCATENATE("15.",BR9,".2015"))/2,0)+CONCATENATE("15.",BR9,".2015")</f>
        <v>42186</v>
      </c>
      <c r="BV9" s="134">
        <f>ROUND((1+VLOOKUP(BT9,IF(VLOOKUP(L9,'Расчет инфляции'!$BD$5:$BF$22,3,0)=2,'Расчет инфляции'!$AJ$5:$AK$370,'Расчет инфляции'!$AO$5:$AP$370),2,0))*(1+IF(VLOOKUP(L9,'Расчет инфляции'!$BD$5:$BF$22,3,0)=2,VLOOKUP(H9,'Расчет инфляции'!$BD$25:$BF$52,2,0),VLOOKUP(H9,'Расчет инфляции'!$BD$25:$BF$52,3,0)))-1,4)-IF(VLOOKUP(L9,'Расчет инфляции'!$BD$5:$BF$22,3,0)=2,VLOOKUP(H9,'Расчет инфляции'!$BD$25:$BH$52,4,0),VLOOKUP(H9,'Расчет инфляции'!$BD$25:$BH$52,5,0))</f>
        <v>5.16E-2</v>
      </c>
      <c r="BW9" s="135">
        <f>ROUND((1+VLOOKUP(BU9,IF(VLOOKUP(L9,'Расчет инфляции'!$BD$5:$BF$22,3,0)=2,'Расчет инфляции'!$AL$5:$AM$370,'Расчет инфляции'!$AQ$5:$AR$370),2,0))*(1+IF(VLOOKUP(L9,'Расчет инфляции'!$BD$5:$BF$22,3,0)=2,VLOOKUP(H9,'Расчет инфляции'!$BD$25:$HJ$52,6,0),VLOOKUP(H9,'Расчет инфляции'!$BD$25:$HJ$52,7,0)))*(1+IF(VLOOKUP(L9,'Расчет инфляции'!$BD$5:$BF$22,3,0)=2,VLOOKUP(H9,'Расчет инфляции'!$BD$25:$BF$52,2,0),VLOOKUP(H9,'Расчет инфляции'!$BD$25:$BF$52,3,0)))-1,4)</f>
        <v>0.1052</v>
      </c>
      <c r="BX9" s="132">
        <f t="shared" si="144"/>
        <v>0</v>
      </c>
      <c r="BY9" s="132">
        <f t="shared" si="145"/>
        <v>0</v>
      </c>
      <c r="BZ9" s="215"/>
      <c r="CB9" s="216"/>
      <c r="CC9" s="216"/>
      <c r="CD9" s="216"/>
      <c r="CE9" s="216"/>
      <c r="CF9" s="216"/>
      <c r="CG9" s="216"/>
      <c r="CH9" s="216"/>
      <c r="CI9" s="216"/>
      <c r="CJ9" s="216"/>
      <c r="CK9" s="216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137"/>
      <c r="DA9" s="214"/>
      <c r="DB9" s="214"/>
      <c r="DC9" s="214"/>
      <c r="DD9" s="214">
        <f t="shared" si="146"/>
        <v>0</v>
      </c>
      <c r="DE9" s="138" t="e">
        <f t="shared" si="147"/>
        <v>#DIV/0!</v>
      </c>
      <c r="DF9" s="219" t="e">
        <f t="shared" si="148"/>
        <v>#DIV/0!</v>
      </c>
      <c r="DG9" s="217">
        <v>1</v>
      </c>
      <c r="DH9" s="220">
        <f t="shared" ref="DH9:DH13" si="180">DG9*DI9</f>
        <v>100000</v>
      </c>
      <c r="DI9" s="218">
        <v>100000</v>
      </c>
      <c r="DJ9" s="220">
        <f t="shared" si="150"/>
        <v>0</v>
      </c>
      <c r="DK9" s="220" t="b">
        <f t="shared" si="151"/>
        <v>1</v>
      </c>
    </row>
    <row r="10" spans="1:115" s="136" customFormat="1">
      <c r="A10" s="123">
        <f t="shared" si="152"/>
        <v>7</v>
      </c>
      <c r="B10" s="201"/>
      <c r="C10" s="202"/>
      <c r="D10" s="203"/>
      <c r="E10" s="204"/>
      <c r="F10" s="204">
        <v>0.01</v>
      </c>
      <c r="G10" s="205"/>
      <c r="H10" s="141" t="s">
        <v>130</v>
      </c>
      <c r="I10" s="206"/>
      <c r="J10" s="207"/>
      <c r="K10" s="208"/>
      <c r="L10" s="128" t="s">
        <v>134</v>
      </c>
      <c r="M10" s="210"/>
      <c r="N10" s="211"/>
      <c r="O10" s="211"/>
      <c r="P10" s="211"/>
      <c r="Q10" s="211"/>
      <c r="R10" s="211"/>
      <c r="S10" s="129">
        <f t="shared" si="154"/>
        <v>0</v>
      </c>
      <c r="T10" s="211">
        <f t="shared" si="153"/>
        <v>0</v>
      </c>
      <c r="U10" s="211"/>
      <c r="V10" s="211"/>
      <c r="W10" s="211"/>
      <c r="X10" s="129">
        <f t="shared" si="155"/>
        <v>0</v>
      </c>
      <c r="Y10" s="130">
        <f t="shared" si="156"/>
        <v>0</v>
      </c>
      <c r="Z10" s="130">
        <f t="shared" si="157"/>
        <v>0</v>
      </c>
      <c r="AA10" s="213">
        <f t="shared" si="109"/>
        <v>0</v>
      </c>
      <c r="AB10" s="214"/>
      <c r="AC10" s="214"/>
      <c r="AD10" s="214"/>
      <c r="AE10" s="130"/>
      <c r="AF10" s="130"/>
      <c r="AG10" s="130"/>
      <c r="AH10" s="130"/>
      <c r="AI10" s="130"/>
      <c r="AJ10" s="130">
        <f t="shared" si="158"/>
        <v>0</v>
      </c>
      <c r="AK10" s="130">
        <f t="shared" si="159"/>
        <v>0</v>
      </c>
      <c r="AL10" s="130">
        <f t="shared" si="160"/>
        <v>0</v>
      </c>
      <c r="AM10" s="130">
        <f t="shared" si="161"/>
        <v>0</v>
      </c>
      <c r="AN10" s="130">
        <f t="shared" si="162"/>
        <v>0</v>
      </c>
      <c r="AO10" s="130">
        <f t="shared" si="163"/>
        <v>0</v>
      </c>
      <c r="AP10" s="131">
        <f t="shared" si="116"/>
        <v>0</v>
      </c>
      <c r="AQ10" s="131">
        <f t="shared" si="117"/>
        <v>0</v>
      </c>
      <c r="AR10" s="131">
        <f t="shared" si="118"/>
        <v>0</v>
      </c>
      <c r="AS10" s="131">
        <f t="shared" si="119"/>
        <v>0</v>
      </c>
      <c r="AT10" s="130">
        <f t="shared" si="164"/>
        <v>0</v>
      </c>
      <c r="AU10" s="130">
        <f t="shared" si="121"/>
        <v>0</v>
      </c>
      <c r="AV10" s="130">
        <f t="shared" si="122"/>
        <v>0</v>
      </c>
      <c r="AW10" s="130">
        <f t="shared" si="123"/>
        <v>0</v>
      </c>
      <c r="AX10" s="130">
        <f t="shared" si="124"/>
        <v>0</v>
      </c>
      <c r="AY10" s="130">
        <f t="shared" si="165"/>
        <v>0</v>
      </c>
      <c r="AZ10" s="130">
        <f t="shared" si="166"/>
        <v>0</v>
      </c>
      <c r="BA10" s="130">
        <f t="shared" si="167"/>
        <v>0</v>
      </c>
      <c r="BB10" s="130">
        <f t="shared" si="168"/>
        <v>0</v>
      </c>
      <c r="BC10" s="130">
        <f t="shared" si="169"/>
        <v>0</v>
      </c>
      <c r="BD10" s="130">
        <f t="shared" si="170"/>
        <v>0</v>
      </c>
      <c r="BE10" s="130">
        <f t="shared" si="131"/>
        <v>0</v>
      </c>
      <c r="BF10" s="130">
        <f t="shared" si="132"/>
        <v>0</v>
      </c>
      <c r="BG10" s="130">
        <f t="shared" si="133"/>
        <v>0</v>
      </c>
      <c r="BH10" s="130">
        <f t="shared" si="134"/>
        <v>0</v>
      </c>
      <c r="BI10" s="130">
        <f t="shared" si="171"/>
        <v>0</v>
      </c>
      <c r="BJ10" s="130">
        <f t="shared" si="172"/>
        <v>0</v>
      </c>
      <c r="BK10" s="130">
        <f t="shared" si="173"/>
        <v>0</v>
      </c>
      <c r="BL10" s="130">
        <f t="shared" si="174"/>
        <v>0</v>
      </c>
      <c r="BM10" s="130">
        <f t="shared" si="175"/>
        <v>0</v>
      </c>
      <c r="BN10" s="130">
        <f t="shared" si="176"/>
        <v>0</v>
      </c>
      <c r="BO10" s="132">
        <f t="shared" si="177"/>
        <v>0</v>
      </c>
      <c r="BP10" s="215">
        <v>1</v>
      </c>
      <c r="BQ10" s="215">
        <v>12</v>
      </c>
      <c r="BR10" s="215">
        <v>1</v>
      </c>
      <c r="BS10" s="215">
        <v>12</v>
      </c>
      <c r="BT10" s="133">
        <f t="shared" si="178"/>
        <v>41821</v>
      </c>
      <c r="BU10" s="133">
        <f t="shared" si="179"/>
        <v>42186</v>
      </c>
      <c r="BV10" s="134">
        <f>ROUND((1+VLOOKUP(BT10,IF(VLOOKUP(L10,'Расчет инфляции'!$BD$5:$BF$22,3,0)=2,'Расчет инфляции'!$AJ$5:$AK$370,'Расчет инфляции'!$AO$5:$AP$370),2,0))*(1+IF(VLOOKUP(L10,'Расчет инфляции'!$BD$5:$BF$22,3,0)=2,VLOOKUP(H10,'Расчет инфляции'!$BD$25:$BF$52,2,0),VLOOKUP(H10,'Расчет инфляции'!$BD$25:$BF$52,3,0)))-1,4)-IF(VLOOKUP(L10,'Расчет инфляции'!$BD$5:$BF$22,3,0)=2,VLOOKUP(H10,'Расчет инфляции'!$BD$25:$BH$52,4,0),VLOOKUP(H10,'Расчет инфляции'!$BD$25:$BH$52,5,0))</f>
        <v>5.16E-2</v>
      </c>
      <c r="BW10" s="135">
        <f>ROUND((1+VLOOKUP(BU10,IF(VLOOKUP(L10,'Расчет инфляции'!$BD$5:$BF$22,3,0)=2,'Расчет инфляции'!$AL$5:$AM$370,'Расчет инфляции'!$AQ$5:$AR$370),2,0))*(1+IF(VLOOKUP(L10,'Расчет инфляции'!$BD$5:$BF$22,3,0)=2,VLOOKUP(H10,'Расчет инфляции'!$BD$25:$HJ$52,6,0),VLOOKUP(H10,'Расчет инфляции'!$BD$25:$HJ$52,7,0)))*(1+IF(VLOOKUP(L10,'Расчет инфляции'!$BD$5:$BF$22,3,0)=2,VLOOKUP(H10,'Расчет инфляции'!$BD$25:$BF$52,2,0),VLOOKUP(H10,'Расчет инфляции'!$BD$25:$BF$52,3,0)))-1,4)</f>
        <v>0.1052</v>
      </c>
      <c r="BX10" s="132">
        <f t="shared" si="144"/>
        <v>0</v>
      </c>
      <c r="BY10" s="132">
        <f t="shared" si="145"/>
        <v>0</v>
      </c>
      <c r="BZ10" s="215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137"/>
      <c r="DA10" s="214"/>
      <c r="DB10" s="214"/>
      <c r="DC10" s="214"/>
      <c r="DD10" s="214">
        <f t="shared" si="146"/>
        <v>0</v>
      </c>
      <c r="DE10" s="138" t="e">
        <f t="shared" si="147"/>
        <v>#DIV/0!</v>
      </c>
      <c r="DF10" s="219" t="e">
        <f t="shared" si="148"/>
        <v>#DIV/0!</v>
      </c>
      <c r="DG10" s="217">
        <v>1</v>
      </c>
      <c r="DH10" s="220">
        <f t="shared" si="180"/>
        <v>100000</v>
      </c>
      <c r="DI10" s="218">
        <v>100000</v>
      </c>
      <c r="DJ10" s="220">
        <f t="shared" si="150"/>
        <v>0</v>
      </c>
      <c r="DK10" s="220" t="b">
        <f t="shared" si="151"/>
        <v>1</v>
      </c>
    </row>
    <row r="11" spans="1:115" s="136" customFormat="1">
      <c r="A11" s="123">
        <f t="shared" si="152"/>
        <v>8</v>
      </c>
      <c r="B11" s="201"/>
      <c r="C11" s="209"/>
      <c r="D11" s="203"/>
      <c r="E11" s="204"/>
      <c r="F11" s="204">
        <v>0.01</v>
      </c>
      <c r="G11" s="205"/>
      <c r="H11" s="141" t="s">
        <v>130</v>
      </c>
      <c r="I11" s="206"/>
      <c r="J11" s="207"/>
      <c r="K11" s="208"/>
      <c r="L11" s="128" t="s">
        <v>134</v>
      </c>
      <c r="M11" s="210"/>
      <c r="N11" s="211"/>
      <c r="O11" s="211"/>
      <c r="P11" s="211"/>
      <c r="Q11" s="211"/>
      <c r="R11" s="211"/>
      <c r="S11" s="129">
        <f t="shared" si="154"/>
        <v>0</v>
      </c>
      <c r="T11" s="211">
        <f t="shared" si="153"/>
        <v>0</v>
      </c>
      <c r="U11" s="211"/>
      <c r="V11" s="211"/>
      <c r="W11" s="211"/>
      <c r="X11" s="129">
        <f t="shared" si="155"/>
        <v>0</v>
      </c>
      <c r="Y11" s="130">
        <f t="shared" si="156"/>
        <v>0</v>
      </c>
      <c r="Z11" s="130">
        <f t="shared" si="157"/>
        <v>0</v>
      </c>
      <c r="AA11" s="213">
        <f t="shared" si="109"/>
        <v>0</v>
      </c>
      <c r="AB11" s="214"/>
      <c r="AC11" s="214"/>
      <c r="AD11" s="214"/>
      <c r="AE11" s="130"/>
      <c r="AF11" s="130"/>
      <c r="AG11" s="130"/>
      <c r="AH11" s="130"/>
      <c r="AI11" s="130"/>
      <c r="AJ11" s="130">
        <f t="shared" si="158"/>
        <v>0</v>
      </c>
      <c r="AK11" s="130">
        <f t="shared" si="159"/>
        <v>0</v>
      </c>
      <c r="AL11" s="130">
        <f t="shared" si="160"/>
        <v>0</v>
      </c>
      <c r="AM11" s="130">
        <f t="shared" si="161"/>
        <v>0</v>
      </c>
      <c r="AN11" s="130">
        <f t="shared" si="162"/>
        <v>0</v>
      </c>
      <c r="AO11" s="130">
        <f t="shared" si="163"/>
        <v>0</v>
      </c>
      <c r="AP11" s="131">
        <f t="shared" si="116"/>
        <v>0</v>
      </c>
      <c r="AQ11" s="131">
        <f t="shared" si="117"/>
        <v>0</v>
      </c>
      <c r="AR11" s="131">
        <f t="shared" si="118"/>
        <v>0</v>
      </c>
      <c r="AS11" s="131">
        <f t="shared" si="119"/>
        <v>0</v>
      </c>
      <c r="AT11" s="130">
        <f t="shared" si="164"/>
        <v>0</v>
      </c>
      <c r="AU11" s="130">
        <f t="shared" si="121"/>
        <v>0</v>
      </c>
      <c r="AV11" s="130">
        <f t="shared" si="122"/>
        <v>0</v>
      </c>
      <c r="AW11" s="130">
        <f t="shared" si="123"/>
        <v>0</v>
      </c>
      <c r="AX11" s="130">
        <f t="shared" si="124"/>
        <v>0</v>
      </c>
      <c r="AY11" s="130">
        <f t="shared" si="165"/>
        <v>0</v>
      </c>
      <c r="AZ11" s="130">
        <f t="shared" si="166"/>
        <v>0</v>
      </c>
      <c r="BA11" s="130">
        <f t="shared" si="167"/>
        <v>0</v>
      </c>
      <c r="BB11" s="130">
        <f t="shared" si="168"/>
        <v>0</v>
      </c>
      <c r="BC11" s="130">
        <f t="shared" si="169"/>
        <v>0</v>
      </c>
      <c r="BD11" s="130">
        <f t="shared" si="170"/>
        <v>0</v>
      </c>
      <c r="BE11" s="130">
        <f t="shared" si="131"/>
        <v>0</v>
      </c>
      <c r="BF11" s="130">
        <f t="shared" si="132"/>
        <v>0</v>
      </c>
      <c r="BG11" s="130">
        <f t="shared" si="133"/>
        <v>0</v>
      </c>
      <c r="BH11" s="130">
        <f t="shared" si="134"/>
        <v>0</v>
      </c>
      <c r="BI11" s="130">
        <f t="shared" si="171"/>
        <v>0</v>
      </c>
      <c r="BJ11" s="130">
        <f t="shared" si="172"/>
        <v>0</v>
      </c>
      <c r="BK11" s="130">
        <f t="shared" si="173"/>
        <v>0</v>
      </c>
      <c r="BL11" s="130">
        <f t="shared" si="174"/>
        <v>0</v>
      </c>
      <c r="BM11" s="130">
        <f t="shared" si="175"/>
        <v>0</v>
      </c>
      <c r="BN11" s="130">
        <f t="shared" si="176"/>
        <v>0</v>
      </c>
      <c r="BO11" s="132">
        <f t="shared" si="177"/>
        <v>0</v>
      </c>
      <c r="BP11" s="215">
        <v>7</v>
      </c>
      <c r="BQ11" s="215">
        <v>8</v>
      </c>
      <c r="BR11" s="215">
        <v>1</v>
      </c>
      <c r="BS11" s="215">
        <v>12</v>
      </c>
      <c r="BT11" s="133">
        <f t="shared" si="178"/>
        <v>41851</v>
      </c>
      <c r="BU11" s="133">
        <f t="shared" si="179"/>
        <v>42186</v>
      </c>
      <c r="BV11" s="134">
        <f>ROUND((1+VLOOKUP(BT11,IF(VLOOKUP(L11,'Расчет инфляции'!$BD$5:$BF$22,3,0)=2,'Расчет инфляции'!$AJ$5:$AK$370,'Расчет инфляции'!$AO$5:$AP$370),2,0))*(1+IF(VLOOKUP(L11,'Расчет инфляции'!$BD$5:$BF$22,3,0)=2,VLOOKUP(H11,'Расчет инфляции'!$BD$25:$BF$52,2,0),VLOOKUP(H11,'Расчет инфляции'!$BD$25:$BF$52,3,0)))-1,4)-IF(VLOOKUP(L11,'Расчет инфляции'!$BD$5:$BF$22,3,0)=2,VLOOKUP(H11,'Расчет инфляции'!$BD$25:$BH$52,4,0),VLOOKUP(H11,'Расчет инфляции'!$BD$25:$BH$52,5,0))</f>
        <v>5.5899999999999998E-2</v>
      </c>
      <c r="BW11" s="135">
        <f>ROUND((1+VLOOKUP(BU11,IF(VLOOKUP(L11,'Расчет инфляции'!$BD$5:$BF$22,3,0)=2,'Расчет инфляции'!$AL$5:$AM$370,'Расчет инфляции'!$AQ$5:$AR$370),2,0))*(1+IF(VLOOKUP(L11,'Расчет инфляции'!$BD$5:$BF$22,3,0)=2,VLOOKUP(H11,'Расчет инфляции'!$BD$25:$HJ$52,6,0),VLOOKUP(H11,'Расчет инфляции'!$BD$25:$HJ$52,7,0)))*(1+IF(VLOOKUP(L11,'Расчет инфляции'!$BD$5:$BF$22,3,0)=2,VLOOKUP(H11,'Расчет инфляции'!$BD$25:$BF$52,2,0),VLOOKUP(H11,'Расчет инфляции'!$BD$25:$BF$52,3,0)))-1,4)</f>
        <v>0.1052</v>
      </c>
      <c r="BX11" s="132">
        <f t="shared" si="144"/>
        <v>0</v>
      </c>
      <c r="BY11" s="132">
        <f t="shared" si="145"/>
        <v>0</v>
      </c>
      <c r="BZ11" s="215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137"/>
      <c r="DA11" s="214"/>
      <c r="DB11" s="214"/>
      <c r="DC11" s="214"/>
      <c r="DD11" s="214">
        <f t="shared" si="146"/>
        <v>0</v>
      </c>
      <c r="DE11" s="138" t="e">
        <f t="shared" si="147"/>
        <v>#DIV/0!</v>
      </c>
      <c r="DF11" s="219" t="e">
        <f t="shared" si="148"/>
        <v>#DIV/0!</v>
      </c>
      <c r="DG11" s="217">
        <v>1</v>
      </c>
      <c r="DH11" s="220">
        <f t="shared" si="180"/>
        <v>100000</v>
      </c>
      <c r="DI11" s="218">
        <v>100000</v>
      </c>
      <c r="DJ11" s="220">
        <f t="shared" si="150"/>
        <v>0</v>
      </c>
      <c r="DK11" s="220" t="b">
        <f t="shared" si="151"/>
        <v>1</v>
      </c>
    </row>
    <row r="12" spans="1:115" s="136" customFormat="1">
      <c r="A12" s="123">
        <f t="shared" si="152"/>
        <v>9</v>
      </c>
      <c r="B12" s="201"/>
      <c r="C12" s="209"/>
      <c r="D12" s="203"/>
      <c r="E12" s="204"/>
      <c r="F12" s="204">
        <v>0.01</v>
      </c>
      <c r="G12" s="205"/>
      <c r="H12" s="141" t="s">
        <v>130</v>
      </c>
      <c r="I12" s="206"/>
      <c r="J12" s="207"/>
      <c r="K12" s="208"/>
      <c r="L12" s="128" t="s">
        <v>134</v>
      </c>
      <c r="M12" s="210"/>
      <c r="N12" s="211"/>
      <c r="O12" s="211"/>
      <c r="P12" s="211"/>
      <c r="Q12" s="211"/>
      <c r="R12" s="211"/>
      <c r="S12" s="129">
        <f>SUM(N12:R12)</f>
        <v>0</v>
      </c>
      <c r="T12" s="211">
        <f t="shared" si="153"/>
        <v>0</v>
      </c>
      <c r="U12" s="211"/>
      <c r="V12" s="211"/>
      <c r="W12" s="211"/>
      <c r="X12" s="129">
        <f t="shared" si="155"/>
        <v>0</v>
      </c>
      <c r="Y12" s="130">
        <f t="shared" si="156"/>
        <v>0</v>
      </c>
      <c r="Z12" s="130">
        <f t="shared" si="157"/>
        <v>0</v>
      </c>
      <c r="AA12" s="213">
        <f t="shared" si="109"/>
        <v>0</v>
      </c>
      <c r="AB12" s="214"/>
      <c r="AC12" s="214"/>
      <c r="AD12" s="214"/>
      <c r="AE12" s="130"/>
      <c r="AF12" s="130"/>
      <c r="AG12" s="130"/>
      <c r="AH12" s="130"/>
      <c r="AI12" s="130"/>
      <c r="AJ12" s="130">
        <f t="shared" si="158"/>
        <v>0</v>
      </c>
      <c r="AK12" s="130">
        <f t="shared" si="159"/>
        <v>0</v>
      </c>
      <c r="AL12" s="130">
        <f t="shared" si="160"/>
        <v>0</v>
      </c>
      <c r="AM12" s="130">
        <f t="shared" si="161"/>
        <v>0</v>
      </c>
      <c r="AN12" s="130">
        <f t="shared" si="162"/>
        <v>0</v>
      </c>
      <c r="AO12" s="130">
        <f t="shared" si="163"/>
        <v>0</v>
      </c>
      <c r="AP12" s="131">
        <f t="shared" si="116"/>
        <v>0</v>
      </c>
      <c r="AQ12" s="131">
        <f t="shared" si="117"/>
        <v>0</v>
      </c>
      <c r="AR12" s="131">
        <f t="shared" si="118"/>
        <v>0</v>
      </c>
      <c r="AS12" s="131">
        <f t="shared" si="119"/>
        <v>0</v>
      </c>
      <c r="AT12" s="130">
        <f t="shared" si="164"/>
        <v>0</v>
      </c>
      <c r="AU12" s="130">
        <f t="shared" si="121"/>
        <v>0</v>
      </c>
      <c r="AV12" s="130">
        <f t="shared" si="122"/>
        <v>0</v>
      </c>
      <c r="AW12" s="130">
        <f t="shared" si="123"/>
        <v>0</v>
      </c>
      <c r="AX12" s="130">
        <f t="shared" si="124"/>
        <v>0</v>
      </c>
      <c r="AY12" s="130">
        <f t="shared" si="165"/>
        <v>0</v>
      </c>
      <c r="AZ12" s="130">
        <f t="shared" si="166"/>
        <v>0</v>
      </c>
      <c r="BA12" s="130">
        <f t="shared" si="167"/>
        <v>0</v>
      </c>
      <c r="BB12" s="130">
        <f t="shared" si="168"/>
        <v>0</v>
      </c>
      <c r="BC12" s="130">
        <f t="shared" si="169"/>
        <v>0</v>
      </c>
      <c r="BD12" s="130">
        <f t="shared" si="170"/>
        <v>0</v>
      </c>
      <c r="BE12" s="130">
        <f t="shared" si="131"/>
        <v>0</v>
      </c>
      <c r="BF12" s="130">
        <f t="shared" si="132"/>
        <v>0</v>
      </c>
      <c r="BG12" s="130">
        <f t="shared" si="133"/>
        <v>0</v>
      </c>
      <c r="BH12" s="130">
        <f t="shared" si="134"/>
        <v>0</v>
      </c>
      <c r="BI12" s="130">
        <f t="shared" si="171"/>
        <v>0</v>
      </c>
      <c r="BJ12" s="130">
        <f t="shared" si="172"/>
        <v>0</v>
      </c>
      <c r="BK12" s="130">
        <f t="shared" si="173"/>
        <v>0</v>
      </c>
      <c r="BL12" s="130">
        <f t="shared" si="174"/>
        <v>0</v>
      </c>
      <c r="BM12" s="130">
        <f t="shared" si="175"/>
        <v>0</v>
      </c>
      <c r="BN12" s="130">
        <f t="shared" si="176"/>
        <v>0</v>
      </c>
      <c r="BO12" s="132">
        <f t="shared" si="177"/>
        <v>0</v>
      </c>
      <c r="BP12" s="215">
        <v>7</v>
      </c>
      <c r="BQ12" s="215">
        <v>8</v>
      </c>
      <c r="BR12" s="215">
        <v>1</v>
      </c>
      <c r="BS12" s="215">
        <v>12</v>
      </c>
      <c r="BT12" s="133">
        <f t="shared" si="178"/>
        <v>41851</v>
      </c>
      <c r="BU12" s="133">
        <f t="shared" si="179"/>
        <v>42186</v>
      </c>
      <c r="BV12" s="134">
        <f>ROUND((1+VLOOKUP(BT12,IF(VLOOKUP(L12,'Расчет инфляции'!$BD$5:$BF$22,3,0)=2,'Расчет инфляции'!$AJ$5:$AK$370,'Расчет инфляции'!$AO$5:$AP$370),2,0))*(1+IF(VLOOKUP(L12,'Расчет инфляции'!$BD$5:$BF$22,3,0)=2,VLOOKUP(H12,'Расчет инфляции'!$BD$25:$BF$52,2,0),VLOOKUP(H12,'Расчет инфляции'!$BD$25:$BF$52,3,0)))-1,4)-IF(VLOOKUP(L12,'Расчет инфляции'!$BD$5:$BF$22,3,0)=2,VLOOKUP(H12,'Расчет инфляции'!$BD$25:$BH$52,4,0),VLOOKUP(H12,'Расчет инфляции'!$BD$25:$BH$52,5,0))</f>
        <v>5.5899999999999998E-2</v>
      </c>
      <c r="BW12" s="135">
        <f>ROUND((1+VLOOKUP(BU12,IF(VLOOKUP(L12,'Расчет инфляции'!$BD$5:$BF$22,3,0)=2,'Расчет инфляции'!$AL$5:$AM$370,'Расчет инфляции'!$AQ$5:$AR$370),2,0))*(1+IF(VLOOKUP(L12,'Расчет инфляции'!$BD$5:$BF$22,3,0)=2,VLOOKUP(H12,'Расчет инфляции'!$BD$25:$HJ$52,6,0),VLOOKUP(H12,'Расчет инфляции'!$BD$25:$HJ$52,7,0)))*(1+IF(VLOOKUP(L12,'Расчет инфляции'!$BD$5:$BF$22,3,0)=2,VLOOKUP(H12,'Расчет инфляции'!$BD$25:$BF$52,2,0),VLOOKUP(H12,'Расчет инфляции'!$BD$25:$BF$52,3,0)))-1,4)</f>
        <v>0.1052</v>
      </c>
      <c r="BX12" s="132">
        <f t="shared" si="144"/>
        <v>0</v>
      </c>
      <c r="BY12" s="132">
        <f t="shared" si="145"/>
        <v>0</v>
      </c>
      <c r="BZ12" s="215"/>
      <c r="CB12" s="216"/>
      <c r="CC12" s="216"/>
      <c r="CD12" s="216"/>
      <c r="CE12" s="216"/>
      <c r="CF12" s="216"/>
      <c r="CG12" s="216"/>
      <c r="CH12" s="216"/>
      <c r="CI12" s="216"/>
      <c r="CJ12" s="216"/>
      <c r="CK12" s="216"/>
      <c r="CL12" s="216"/>
      <c r="CM12" s="216"/>
      <c r="CN12" s="216"/>
      <c r="CO12" s="216"/>
      <c r="CP12" s="216"/>
      <c r="CQ12" s="216"/>
      <c r="CR12" s="216"/>
      <c r="CS12" s="216"/>
      <c r="CT12" s="216"/>
      <c r="CU12" s="216"/>
      <c r="CV12" s="216"/>
      <c r="CW12" s="216"/>
      <c r="CX12" s="216"/>
      <c r="CY12" s="216"/>
      <c r="CZ12" s="137"/>
      <c r="DA12" s="214"/>
      <c r="DB12" s="214"/>
      <c r="DC12" s="214"/>
      <c r="DD12" s="214">
        <f t="shared" si="146"/>
        <v>0</v>
      </c>
      <c r="DE12" s="138" t="e">
        <f t="shared" si="147"/>
        <v>#DIV/0!</v>
      </c>
      <c r="DF12" s="219" t="e">
        <f t="shared" si="148"/>
        <v>#DIV/0!</v>
      </c>
      <c r="DG12" s="217">
        <v>1</v>
      </c>
      <c r="DH12" s="220">
        <f t="shared" si="180"/>
        <v>100000</v>
      </c>
      <c r="DI12" s="218">
        <v>100000</v>
      </c>
      <c r="DJ12" s="220">
        <f t="shared" si="150"/>
        <v>0</v>
      </c>
      <c r="DK12" s="220" t="b">
        <f t="shared" si="151"/>
        <v>1</v>
      </c>
    </row>
    <row r="13" spans="1:115" s="136" customFormat="1">
      <c r="A13" s="123">
        <f t="shared" si="152"/>
        <v>10</v>
      </c>
      <c r="B13" s="201"/>
      <c r="C13" s="209"/>
      <c r="D13" s="203"/>
      <c r="E13" s="204"/>
      <c r="F13" s="204">
        <v>0.01</v>
      </c>
      <c r="G13" s="205"/>
      <c r="H13" s="141" t="s">
        <v>130</v>
      </c>
      <c r="I13" s="206"/>
      <c r="J13" s="207"/>
      <c r="K13" s="208"/>
      <c r="L13" s="128" t="s">
        <v>134</v>
      </c>
      <c r="M13" s="210"/>
      <c r="N13" s="211"/>
      <c r="O13" s="211"/>
      <c r="P13" s="211"/>
      <c r="Q13" s="211"/>
      <c r="R13" s="211"/>
      <c r="S13" s="129">
        <f t="shared" si="154"/>
        <v>0</v>
      </c>
      <c r="T13" s="211">
        <f t="shared" si="153"/>
        <v>0</v>
      </c>
      <c r="U13" s="211"/>
      <c r="V13" s="211"/>
      <c r="W13" s="211"/>
      <c r="X13" s="129">
        <f t="shared" si="155"/>
        <v>0</v>
      </c>
      <c r="Y13" s="130">
        <f t="shared" si="156"/>
        <v>0</v>
      </c>
      <c r="Z13" s="130">
        <f t="shared" si="157"/>
        <v>0</v>
      </c>
      <c r="AA13" s="213">
        <f t="shared" si="109"/>
        <v>0</v>
      </c>
      <c r="AB13" s="214"/>
      <c r="AC13" s="214"/>
      <c r="AD13" s="214"/>
      <c r="AE13" s="130"/>
      <c r="AF13" s="130"/>
      <c r="AG13" s="130"/>
      <c r="AH13" s="130"/>
      <c r="AI13" s="130"/>
      <c r="AJ13" s="130">
        <f t="shared" si="158"/>
        <v>0</v>
      </c>
      <c r="AK13" s="130">
        <f t="shared" si="159"/>
        <v>0</v>
      </c>
      <c r="AL13" s="130">
        <f t="shared" si="160"/>
        <v>0</v>
      </c>
      <c r="AM13" s="130">
        <f t="shared" si="161"/>
        <v>0</v>
      </c>
      <c r="AN13" s="130">
        <f t="shared" si="162"/>
        <v>0</v>
      </c>
      <c r="AO13" s="130">
        <f t="shared" si="163"/>
        <v>0</v>
      </c>
      <c r="AP13" s="131">
        <f t="shared" si="116"/>
        <v>0</v>
      </c>
      <c r="AQ13" s="131">
        <f t="shared" si="117"/>
        <v>0</v>
      </c>
      <c r="AR13" s="131">
        <f t="shared" si="118"/>
        <v>0</v>
      </c>
      <c r="AS13" s="131">
        <f t="shared" si="119"/>
        <v>0</v>
      </c>
      <c r="AT13" s="130">
        <f t="shared" si="164"/>
        <v>0</v>
      </c>
      <c r="AU13" s="130">
        <f t="shared" si="121"/>
        <v>0</v>
      </c>
      <c r="AV13" s="130">
        <f t="shared" si="122"/>
        <v>0</v>
      </c>
      <c r="AW13" s="130">
        <f t="shared" si="123"/>
        <v>0</v>
      </c>
      <c r="AX13" s="130">
        <f t="shared" si="124"/>
        <v>0</v>
      </c>
      <c r="AY13" s="130">
        <f t="shared" si="165"/>
        <v>0</v>
      </c>
      <c r="AZ13" s="130">
        <f t="shared" si="166"/>
        <v>0</v>
      </c>
      <c r="BA13" s="130">
        <f t="shared" si="167"/>
        <v>0</v>
      </c>
      <c r="BB13" s="130">
        <f t="shared" si="168"/>
        <v>0</v>
      </c>
      <c r="BC13" s="130">
        <f t="shared" si="169"/>
        <v>0</v>
      </c>
      <c r="BD13" s="130">
        <f t="shared" si="170"/>
        <v>0</v>
      </c>
      <c r="BE13" s="130">
        <f t="shared" si="131"/>
        <v>0</v>
      </c>
      <c r="BF13" s="130">
        <f t="shared" si="132"/>
        <v>0</v>
      </c>
      <c r="BG13" s="130">
        <f t="shared" si="133"/>
        <v>0</v>
      </c>
      <c r="BH13" s="130">
        <f t="shared" si="134"/>
        <v>0</v>
      </c>
      <c r="BI13" s="130">
        <f t="shared" si="171"/>
        <v>0</v>
      </c>
      <c r="BJ13" s="130">
        <f t="shared" si="172"/>
        <v>0</v>
      </c>
      <c r="BK13" s="130">
        <f t="shared" si="173"/>
        <v>0</v>
      </c>
      <c r="BL13" s="130">
        <f t="shared" si="174"/>
        <v>0</v>
      </c>
      <c r="BM13" s="130">
        <f t="shared" si="175"/>
        <v>0</v>
      </c>
      <c r="BN13" s="130">
        <f t="shared" si="176"/>
        <v>0</v>
      </c>
      <c r="BO13" s="132">
        <f t="shared" si="177"/>
        <v>0</v>
      </c>
      <c r="BP13" s="215">
        <v>1</v>
      </c>
      <c r="BQ13" s="215">
        <v>12</v>
      </c>
      <c r="BR13" s="215">
        <v>1</v>
      </c>
      <c r="BS13" s="215">
        <v>12</v>
      </c>
      <c r="BT13" s="133">
        <f t="shared" si="178"/>
        <v>41821</v>
      </c>
      <c r="BU13" s="133">
        <f t="shared" si="179"/>
        <v>42186</v>
      </c>
      <c r="BV13" s="134">
        <f>ROUND((1+VLOOKUP(BT13,IF(VLOOKUP(L13,'Расчет инфляции'!$BD$5:$BF$22,3,0)=2,'Расчет инфляции'!$AJ$5:$AK$370,'Расчет инфляции'!$AO$5:$AP$370),2,0))*(1+IF(VLOOKUP(L13,'Расчет инфляции'!$BD$5:$BF$22,3,0)=2,VLOOKUP(H13,'Расчет инфляции'!$BD$25:$BF$52,2,0),VLOOKUP(H13,'Расчет инфляции'!$BD$25:$BF$52,3,0)))-1,4)-IF(VLOOKUP(L13,'Расчет инфляции'!$BD$5:$BF$22,3,0)=2,VLOOKUP(H13,'Расчет инфляции'!$BD$25:$BH$52,4,0),VLOOKUP(H13,'Расчет инфляции'!$BD$25:$BH$52,5,0))</f>
        <v>5.16E-2</v>
      </c>
      <c r="BW13" s="135">
        <f>ROUND((1+VLOOKUP(BU13,IF(VLOOKUP(L13,'Расчет инфляции'!$BD$5:$BF$22,3,0)=2,'Расчет инфляции'!$AL$5:$AM$370,'Расчет инфляции'!$AQ$5:$AR$370),2,0))*(1+IF(VLOOKUP(L13,'Расчет инфляции'!$BD$5:$BF$22,3,0)=2,VLOOKUP(H13,'Расчет инфляции'!$BD$25:$HJ$52,6,0),VLOOKUP(H13,'Расчет инфляции'!$BD$25:$HJ$52,7,0)))*(1+IF(VLOOKUP(L13,'Расчет инфляции'!$BD$5:$BF$22,3,0)=2,VLOOKUP(H13,'Расчет инфляции'!$BD$25:$BF$52,2,0),VLOOKUP(H13,'Расчет инфляции'!$BD$25:$BF$52,3,0)))-1,4)</f>
        <v>0.1052</v>
      </c>
      <c r="BX13" s="132">
        <f t="shared" si="144"/>
        <v>0</v>
      </c>
      <c r="BY13" s="132">
        <f t="shared" si="145"/>
        <v>0</v>
      </c>
      <c r="BZ13" s="215"/>
      <c r="CB13" s="216"/>
      <c r="CC13" s="216"/>
      <c r="CD13" s="216"/>
      <c r="CE13" s="216"/>
      <c r="CF13" s="216"/>
      <c r="CG13" s="216"/>
      <c r="CH13" s="216"/>
      <c r="CI13" s="216"/>
      <c r="CJ13" s="216"/>
      <c r="CK13" s="216"/>
      <c r="CL13" s="216"/>
      <c r="CM13" s="216"/>
      <c r="CN13" s="216"/>
      <c r="CO13" s="216"/>
      <c r="CP13" s="216"/>
      <c r="CQ13" s="216"/>
      <c r="CR13" s="216"/>
      <c r="CS13" s="216"/>
      <c r="CT13" s="216"/>
      <c r="CU13" s="216"/>
      <c r="CV13" s="216"/>
      <c r="CW13" s="216"/>
      <c r="CX13" s="216"/>
      <c r="CY13" s="216"/>
      <c r="CZ13" s="137"/>
      <c r="DA13" s="214"/>
      <c r="DB13" s="214"/>
      <c r="DC13" s="214"/>
      <c r="DD13" s="214">
        <f t="shared" si="146"/>
        <v>0</v>
      </c>
      <c r="DE13" s="138" t="e">
        <f t="shared" si="147"/>
        <v>#DIV/0!</v>
      </c>
      <c r="DF13" s="219" t="e">
        <f t="shared" si="148"/>
        <v>#DIV/0!</v>
      </c>
      <c r="DG13" s="217">
        <v>1</v>
      </c>
      <c r="DH13" s="220">
        <f t="shared" si="180"/>
        <v>100000</v>
      </c>
      <c r="DI13" s="218">
        <v>100000</v>
      </c>
      <c r="DJ13" s="220">
        <f t="shared" si="150"/>
        <v>0</v>
      </c>
      <c r="DK13" s="220" t="b">
        <f t="shared" si="151"/>
        <v>1</v>
      </c>
    </row>
    <row r="14" spans="1:115" s="136" customFormat="1">
      <c r="A14" s="123">
        <f t="shared" si="152"/>
        <v>11</v>
      </c>
      <c r="B14" s="201"/>
      <c r="C14" s="202"/>
      <c r="D14" s="203"/>
      <c r="E14" s="204"/>
      <c r="F14" s="204">
        <v>0.01</v>
      </c>
      <c r="G14" s="205"/>
      <c r="H14" s="141" t="s">
        <v>130</v>
      </c>
      <c r="I14" s="206"/>
      <c r="J14" s="207"/>
      <c r="K14" s="208"/>
      <c r="L14" s="128" t="s">
        <v>134</v>
      </c>
      <c r="M14" s="210"/>
      <c r="N14" s="211"/>
      <c r="O14" s="211"/>
      <c r="P14" s="211"/>
      <c r="Q14" s="211"/>
      <c r="R14" s="211"/>
      <c r="S14" s="129">
        <f t="shared" ref="S14" si="181">SUM(N14:R14)</f>
        <v>0</v>
      </c>
      <c r="T14" s="211">
        <f t="shared" si="153"/>
        <v>0</v>
      </c>
      <c r="U14" s="211"/>
      <c r="V14" s="211"/>
      <c r="W14" s="211"/>
      <c r="X14" s="129">
        <f t="shared" ref="X14" si="182">SUM(T14:W14)</f>
        <v>0</v>
      </c>
      <c r="Y14" s="130">
        <f t="shared" ref="Y14:Y25" si="183">ROUND($E14*T14,0)</f>
        <v>0</v>
      </c>
      <c r="Z14" s="130">
        <f t="shared" ref="Z14:Z25" si="184">ROUND($E14*U14,0)</f>
        <v>0</v>
      </c>
      <c r="AA14" s="213">
        <f t="shared" si="109"/>
        <v>0</v>
      </c>
      <c r="AB14" s="214"/>
      <c r="AC14" s="214"/>
      <c r="AD14" s="214"/>
      <c r="AE14" s="130"/>
      <c r="AF14" s="130"/>
      <c r="AG14" s="130"/>
      <c r="AH14" s="130"/>
      <c r="AI14" s="130"/>
      <c r="AJ14" s="130">
        <f t="shared" ref="AJ14:AJ25" si="185">ROUND(SUM(AF14:AI14),0)</f>
        <v>0</v>
      </c>
      <c r="AK14" s="130">
        <f t="shared" ref="AK14:AK25" si="186">T14+Y14+AB14+AF14</f>
        <v>0</v>
      </c>
      <c r="AL14" s="130">
        <f t="shared" ref="AL14:AL25" si="187">U14+Z14+AC14+AG14</f>
        <v>0</v>
      </c>
      <c r="AM14" s="130">
        <f t="shared" ref="AM14:AM25" si="188">V14+AH14</f>
        <v>0</v>
      </c>
      <c r="AN14" s="130">
        <f t="shared" ref="AN14:AN25" si="189">W14+AA14+AD14+AE14+AI14</f>
        <v>0</v>
      </c>
      <c r="AO14" s="130">
        <f t="shared" ref="AO14:AO25" si="190">SUM(AK14:AN14)</f>
        <v>0</v>
      </c>
      <c r="AP14" s="131">
        <f t="shared" si="116"/>
        <v>0</v>
      </c>
      <c r="AQ14" s="131">
        <f t="shared" si="117"/>
        <v>0</v>
      </c>
      <c r="AR14" s="131">
        <f t="shared" si="118"/>
        <v>0</v>
      </c>
      <c r="AS14" s="131">
        <f t="shared" si="119"/>
        <v>0</v>
      </c>
      <c r="AT14" s="130">
        <f t="shared" ref="AT14:AT25" si="191">SUM(AP14:AS14)</f>
        <v>0</v>
      </c>
      <c r="AU14" s="130">
        <f t="shared" si="121"/>
        <v>0</v>
      </c>
      <c r="AV14" s="130">
        <f t="shared" si="122"/>
        <v>0</v>
      </c>
      <c r="AW14" s="130">
        <f t="shared" si="123"/>
        <v>0</v>
      </c>
      <c r="AX14" s="130">
        <f t="shared" si="124"/>
        <v>0</v>
      </c>
      <c r="AY14" s="130">
        <f t="shared" ref="AY14:AY25" si="192">SUM(AU14:AX14)</f>
        <v>0</v>
      </c>
      <c r="AZ14" s="130">
        <f t="shared" ref="AZ14:AZ25" si="193">ROUND(18%*SUM(AP14,AU14),0)</f>
        <v>0</v>
      </c>
      <c r="BA14" s="130">
        <f t="shared" ref="BA14:BA25" si="194">ROUND(18%*SUM(AQ14,AV14),0)</f>
        <v>0</v>
      </c>
      <c r="BB14" s="130">
        <f t="shared" ref="BB14:BB25" si="195">ROUND(18%*SUM(AR14,AW14),0)</f>
        <v>0</v>
      </c>
      <c r="BC14" s="130">
        <f t="shared" ref="BC14:BC25" si="196">ROUND(18%*SUM(AS14,AX14),0)</f>
        <v>0</v>
      </c>
      <c r="BD14" s="130">
        <f t="shared" ref="BD14:BD25" si="197">SUM(AZ14:BC14)</f>
        <v>0</v>
      </c>
      <c r="BE14" s="130">
        <f t="shared" si="131"/>
        <v>0</v>
      </c>
      <c r="BF14" s="130">
        <f t="shared" si="132"/>
        <v>0</v>
      </c>
      <c r="BG14" s="130">
        <f t="shared" si="133"/>
        <v>0</v>
      </c>
      <c r="BH14" s="130">
        <f t="shared" si="134"/>
        <v>0</v>
      </c>
      <c r="BI14" s="130">
        <f t="shared" ref="BI14:BI25" si="198">SUM(BE14:BH14)</f>
        <v>0</v>
      </c>
      <c r="BJ14" s="130">
        <f t="shared" ref="BJ14:BJ25" si="199">ROUND(18%*(AK14-AP14+BE14),0)</f>
        <v>0</v>
      </c>
      <c r="BK14" s="130">
        <f t="shared" ref="BK14:BK25" si="200">ROUND(18%*(AL14-AQ14+BF14),0)</f>
        <v>0</v>
      </c>
      <c r="BL14" s="130">
        <f t="shared" ref="BL14:BL25" si="201">ROUND(18%*(AM14-AR14+BG14),0)</f>
        <v>0</v>
      </c>
      <c r="BM14" s="130">
        <f t="shared" ref="BM14:BM25" si="202">ROUND(18%*(AN14-AS14+BH14),0)</f>
        <v>0</v>
      </c>
      <c r="BN14" s="130">
        <f t="shared" ref="BN14:BN25" si="203">SUM(BJ14:BM14)</f>
        <v>0</v>
      </c>
      <c r="BO14" s="132">
        <f t="shared" ref="BO14:BO25" si="204">SUM(AO14,AY14,BD14,BI14,BN14)</f>
        <v>0</v>
      </c>
      <c r="BP14" s="215">
        <v>1</v>
      </c>
      <c r="BQ14" s="215">
        <v>12</v>
      </c>
      <c r="BR14" s="215">
        <v>1</v>
      </c>
      <c r="BS14" s="215">
        <v>12</v>
      </c>
      <c r="BT14" s="133">
        <f t="shared" ref="BT14:BT25" si="205">ROUND((CONCATENATE("15.",BQ14,".2014")-CONCATENATE("15.",BP14,".2014"))/2,0)+CONCATENATE("15.",BP14,".2014")</f>
        <v>41821</v>
      </c>
      <c r="BU14" s="133">
        <f t="shared" ref="BU14:BU25" si="206">ROUND((CONCATENATE("15.",BS14,".2015")-CONCATENATE("15.",BR14,".2015"))/2,0)+CONCATENATE("15.",BR14,".2015")</f>
        <v>42186</v>
      </c>
      <c r="BV14" s="134">
        <f>ROUND((1+VLOOKUP(BT14,IF(VLOOKUP(L14,'Расчет инфляции'!$BD$5:$BF$22,3,0)=2,'Расчет инфляции'!$AJ$5:$AK$370,'Расчет инфляции'!$AO$5:$AP$370),2,0))*(1+IF(VLOOKUP(L14,'Расчет инфляции'!$BD$5:$BF$22,3,0)=2,VLOOKUP(H14,'Расчет инфляции'!$BD$25:$BF$52,2,0),VLOOKUP(H14,'Расчет инфляции'!$BD$25:$BF$52,3,0)))-1,4)-IF(VLOOKUP(L14,'Расчет инфляции'!$BD$5:$BF$22,3,0)=2,VLOOKUP(H14,'Расчет инфляции'!$BD$25:$BH$52,4,0),VLOOKUP(H14,'Расчет инфляции'!$BD$25:$BH$52,5,0))</f>
        <v>5.16E-2</v>
      </c>
      <c r="BW14" s="135">
        <f>ROUND((1+VLOOKUP(BU14,IF(VLOOKUP(L14,'Расчет инфляции'!$BD$5:$BF$22,3,0)=2,'Расчет инфляции'!$AL$5:$AM$370,'Расчет инфляции'!$AQ$5:$AR$370),2,0))*(1+IF(VLOOKUP(L14,'Расчет инфляции'!$BD$5:$BF$22,3,0)=2,VLOOKUP(H14,'Расчет инфляции'!$BD$25:$HJ$52,6,0),VLOOKUP(H14,'Расчет инфляции'!$BD$25:$HJ$52,7,0)))*(1+IF(VLOOKUP(L14,'Расчет инфляции'!$BD$5:$BF$22,3,0)=2,VLOOKUP(H14,'Расчет инфляции'!$BD$25:$BF$52,2,0),VLOOKUP(H14,'Расчет инфляции'!$BD$25:$BF$52,3,0)))-1,4)</f>
        <v>0.1052</v>
      </c>
      <c r="BX14" s="132">
        <f t="shared" si="144"/>
        <v>0</v>
      </c>
      <c r="BY14" s="132">
        <f t="shared" si="145"/>
        <v>0</v>
      </c>
      <c r="BZ14" s="215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  <c r="CP14" s="216"/>
      <c r="CQ14" s="216"/>
      <c r="CR14" s="216"/>
      <c r="CS14" s="216"/>
      <c r="CT14" s="216"/>
      <c r="CU14" s="216"/>
      <c r="CV14" s="216"/>
      <c r="CW14" s="216"/>
      <c r="CX14" s="216"/>
      <c r="CY14" s="216"/>
      <c r="CZ14" s="137"/>
      <c r="DA14" s="214"/>
      <c r="DB14" s="214"/>
      <c r="DC14" s="214"/>
      <c r="DD14" s="214">
        <f t="shared" si="146"/>
        <v>0</v>
      </c>
      <c r="DE14" s="138" t="e">
        <f t="shared" si="147"/>
        <v>#DIV/0!</v>
      </c>
      <c r="DF14" s="219" t="e">
        <f t="shared" si="148"/>
        <v>#DIV/0!</v>
      </c>
      <c r="DG14" s="217">
        <v>1</v>
      </c>
      <c r="DH14" s="220">
        <f t="shared" ref="DH14:DH25" si="207">DG14*DI14</f>
        <v>100000</v>
      </c>
      <c r="DI14" s="218">
        <v>100000</v>
      </c>
      <c r="DJ14" s="220">
        <f t="shared" si="150"/>
        <v>0</v>
      </c>
      <c r="DK14" s="220" t="b">
        <f t="shared" si="151"/>
        <v>1</v>
      </c>
    </row>
    <row r="15" spans="1:115" s="136" customFormat="1">
      <c r="A15" s="123">
        <f t="shared" si="152"/>
        <v>12</v>
      </c>
      <c r="B15" s="201"/>
      <c r="C15" s="202"/>
      <c r="D15" s="203"/>
      <c r="E15" s="204"/>
      <c r="F15" s="204">
        <v>0.01</v>
      </c>
      <c r="G15" s="205"/>
      <c r="H15" s="141" t="s">
        <v>130</v>
      </c>
      <c r="I15" s="206"/>
      <c r="J15" s="207"/>
      <c r="K15" s="208"/>
      <c r="L15" s="128" t="s">
        <v>134</v>
      </c>
      <c r="M15" s="210"/>
      <c r="N15" s="211"/>
      <c r="O15" s="211"/>
      <c r="P15" s="211"/>
      <c r="Q15" s="211"/>
      <c r="R15" s="211"/>
      <c r="S15" s="129">
        <f t="shared" ref="S15" si="208">SUM(N15:R15)</f>
        <v>0</v>
      </c>
      <c r="T15" s="211">
        <f t="shared" si="153"/>
        <v>0</v>
      </c>
      <c r="U15" s="211"/>
      <c r="V15" s="211"/>
      <c r="W15" s="211"/>
      <c r="X15" s="129">
        <f t="shared" ref="X15" si="209">SUM(T15:W15)</f>
        <v>0</v>
      </c>
      <c r="Y15" s="130">
        <f t="shared" si="183"/>
        <v>0</v>
      </c>
      <c r="Z15" s="130">
        <f t="shared" si="184"/>
        <v>0</v>
      </c>
      <c r="AA15" s="213">
        <f t="shared" si="109"/>
        <v>0</v>
      </c>
      <c r="AB15" s="214"/>
      <c r="AC15" s="214"/>
      <c r="AD15" s="214"/>
      <c r="AE15" s="130"/>
      <c r="AF15" s="130"/>
      <c r="AG15" s="130"/>
      <c r="AH15" s="130"/>
      <c r="AI15" s="130"/>
      <c r="AJ15" s="130">
        <f t="shared" si="185"/>
        <v>0</v>
      </c>
      <c r="AK15" s="130">
        <f t="shared" si="186"/>
        <v>0</v>
      </c>
      <c r="AL15" s="130">
        <f t="shared" si="187"/>
        <v>0</v>
      </c>
      <c r="AM15" s="130">
        <f t="shared" si="188"/>
        <v>0</v>
      </c>
      <c r="AN15" s="130">
        <f t="shared" si="189"/>
        <v>0</v>
      </c>
      <c r="AO15" s="130">
        <f t="shared" si="190"/>
        <v>0</v>
      </c>
      <c r="AP15" s="131">
        <f t="shared" si="116"/>
        <v>0</v>
      </c>
      <c r="AQ15" s="131">
        <f t="shared" si="117"/>
        <v>0</v>
      </c>
      <c r="AR15" s="131">
        <f t="shared" si="118"/>
        <v>0</v>
      </c>
      <c r="AS15" s="131">
        <f t="shared" si="119"/>
        <v>0</v>
      </c>
      <c r="AT15" s="130">
        <f t="shared" si="191"/>
        <v>0</v>
      </c>
      <c r="AU15" s="130">
        <f t="shared" si="121"/>
        <v>0</v>
      </c>
      <c r="AV15" s="130">
        <f t="shared" si="122"/>
        <v>0</v>
      </c>
      <c r="AW15" s="130">
        <f t="shared" si="123"/>
        <v>0</v>
      </c>
      <c r="AX15" s="130">
        <f t="shared" si="124"/>
        <v>0</v>
      </c>
      <c r="AY15" s="130">
        <f t="shared" si="192"/>
        <v>0</v>
      </c>
      <c r="AZ15" s="130">
        <f t="shared" si="193"/>
        <v>0</v>
      </c>
      <c r="BA15" s="130">
        <f t="shared" si="194"/>
        <v>0</v>
      </c>
      <c r="BB15" s="130">
        <f t="shared" si="195"/>
        <v>0</v>
      </c>
      <c r="BC15" s="130">
        <f t="shared" si="196"/>
        <v>0</v>
      </c>
      <c r="BD15" s="130">
        <f t="shared" si="197"/>
        <v>0</v>
      </c>
      <c r="BE15" s="130">
        <f t="shared" si="131"/>
        <v>0</v>
      </c>
      <c r="BF15" s="130">
        <f t="shared" si="132"/>
        <v>0</v>
      </c>
      <c r="BG15" s="130">
        <f t="shared" si="133"/>
        <v>0</v>
      </c>
      <c r="BH15" s="130">
        <f t="shared" si="134"/>
        <v>0</v>
      </c>
      <c r="BI15" s="130">
        <f t="shared" si="198"/>
        <v>0</v>
      </c>
      <c r="BJ15" s="130">
        <f t="shared" si="199"/>
        <v>0</v>
      </c>
      <c r="BK15" s="130">
        <f t="shared" si="200"/>
        <v>0</v>
      </c>
      <c r="BL15" s="130">
        <f t="shared" si="201"/>
        <v>0</v>
      </c>
      <c r="BM15" s="130">
        <f t="shared" si="202"/>
        <v>0</v>
      </c>
      <c r="BN15" s="130">
        <f t="shared" si="203"/>
        <v>0</v>
      </c>
      <c r="BO15" s="132">
        <f t="shared" si="204"/>
        <v>0</v>
      </c>
      <c r="BP15" s="215">
        <v>1</v>
      </c>
      <c r="BQ15" s="215">
        <v>12</v>
      </c>
      <c r="BR15" s="215">
        <v>1</v>
      </c>
      <c r="BS15" s="215">
        <v>12</v>
      </c>
      <c r="BT15" s="133">
        <f t="shared" si="205"/>
        <v>41821</v>
      </c>
      <c r="BU15" s="133">
        <f t="shared" si="206"/>
        <v>42186</v>
      </c>
      <c r="BV15" s="134">
        <f>ROUND((1+VLOOKUP(BT15,IF(VLOOKUP(L15,'Расчет инфляции'!$BD$5:$BF$22,3,0)=2,'Расчет инфляции'!$AJ$5:$AK$370,'Расчет инфляции'!$AO$5:$AP$370),2,0))*(1+IF(VLOOKUP(L15,'Расчет инфляции'!$BD$5:$BF$22,3,0)=2,VLOOKUP(H15,'Расчет инфляции'!$BD$25:$BF$52,2,0),VLOOKUP(H15,'Расчет инфляции'!$BD$25:$BF$52,3,0)))-1,4)-IF(VLOOKUP(L15,'Расчет инфляции'!$BD$5:$BF$22,3,0)=2,VLOOKUP(H15,'Расчет инфляции'!$BD$25:$BH$52,4,0),VLOOKUP(H15,'Расчет инфляции'!$BD$25:$BH$52,5,0))</f>
        <v>5.16E-2</v>
      </c>
      <c r="BW15" s="135">
        <f>ROUND((1+VLOOKUP(BU15,IF(VLOOKUP(L15,'Расчет инфляции'!$BD$5:$BF$22,3,0)=2,'Расчет инфляции'!$AL$5:$AM$370,'Расчет инфляции'!$AQ$5:$AR$370),2,0))*(1+IF(VLOOKUP(L15,'Расчет инфляции'!$BD$5:$BF$22,3,0)=2,VLOOKUP(H15,'Расчет инфляции'!$BD$25:$HJ$52,6,0),VLOOKUP(H15,'Расчет инфляции'!$BD$25:$HJ$52,7,0)))*(1+IF(VLOOKUP(L15,'Расчет инфляции'!$BD$5:$BF$22,3,0)=2,VLOOKUP(H15,'Расчет инфляции'!$BD$25:$BF$52,2,0),VLOOKUP(H15,'Расчет инфляции'!$BD$25:$BF$52,3,0)))-1,4)</f>
        <v>0.1052</v>
      </c>
      <c r="BX15" s="132">
        <f t="shared" si="144"/>
        <v>0</v>
      </c>
      <c r="BY15" s="132">
        <f t="shared" si="145"/>
        <v>0</v>
      </c>
      <c r="BZ15" s="215"/>
      <c r="CB15" s="216"/>
      <c r="CC15" s="216"/>
      <c r="CD15" s="216"/>
      <c r="CE15" s="216"/>
      <c r="CF15" s="216"/>
      <c r="CG15" s="216"/>
      <c r="CH15" s="216"/>
      <c r="CI15" s="216"/>
      <c r="CJ15" s="216"/>
      <c r="CK15" s="216"/>
      <c r="CL15" s="216"/>
      <c r="CM15" s="216"/>
      <c r="CN15" s="216"/>
      <c r="CO15" s="216"/>
      <c r="CP15" s="216"/>
      <c r="CQ15" s="216"/>
      <c r="CR15" s="216"/>
      <c r="CS15" s="216"/>
      <c r="CT15" s="216"/>
      <c r="CU15" s="216"/>
      <c r="CV15" s="216"/>
      <c r="CW15" s="216"/>
      <c r="CX15" s="216"/>
      <c r="CY15" s="216"/>
      <c r="CZ15" s="137"/>
      <c r="DA15" s="214"/>
      <c r="DB15" s="214"/>
      <c r="DC15" s="214"/>
      <c r="DD15" s="214">
        <f t="shared" si="146"/>
        <v>0</v>
      </c>
      <c r="DE15" s="138" t="e">
        <f t="shared" si="147"/>
        <v>#DIV/0!</v>
      </c>
      <c r="DF15" s="219" t="e">
        <f t="shared" si="148"/>
        <v>#DIV/0!</v>
      </c>
      <c r="DG15" s="217">
        <v>1</v>
      </c>
      <c r="DH15" s="220">
        <f t="shared" si="207"/>
        <v>100000</v>
      </c>
      <c r="DI15" s="218">
        <v>100000</v>
      </c>
      <c r="DJ15" s="220">
        <f t="shared" si="150"/>
        <v>0</v>
      </c>
      <c r="DK15" s="220" t="b">
        <f t="shared" si="151"/>
        <v>1</v>
      </c>
    </row>
    <row r="16" spans="1:115" s="136" customFormat="1">
      <c r="A16" s="123">
        <f t="shared" si="152"/>
        <v>13</v>
      </c>
      <c r="B16" s="201"/>
      <c r="C16" s="202"/>
      <c r="D16" s="203"/>
      <c r="E16" s="204"/>
      <c r="F16" s="204">
        <v>0.01</v>
      </c>
      <c r="G16" s="205"/>
      <c r="H16" s="141" t="s">
        <v>130</v>
      </c>
      <c r="I16" s="206"/>
      <c r="J16" s="207"/>
      <c r="K16" s="208"/>
      <c r="L16" s="128" t="s">
        <v>134</v>
      </c>
      <c r="M16" s="210"/>
      <c r="N16" s="211"/>
      <c r="O16" s="211"/>
      <c r="P16" s="211"/>
      <c r="Q16" s="211"/>
      <c r="R16" s="211"/>
      <c r="S16" s="129">
        <f t="shared" ref="S16:S41" si="210">SUM(N16:R16)</f>
        <v>0</v>
      </c>
      <c r="T16" s="211">
        <f t="shared" si="153"/>
        <v>0</v>
      </c>
      <c r="U16" s="211"/>
      <c r="V16" s="211"/>
      <c r="W16" s="211"/>
      <c r="X16" s="129">
        <f t="shared" ref="X16:X41" si="211">SUM(T16:W16)</f>
        <v>0</v>
      </c>
      <c r="Y16" s="130">
        <f t="shared" si="183"/>
        <v>0</v>
      </c>
      <c r="Z16" s="130">
        <f t="shared" si="184"/>
        <v>0</v>
      </c>
      <c r="AA16" s="213">
        <f t="shared" si="109"/>
        <v>0</v>
      </c>
      <c r="AB16" s="214"/>
      <c r="AC16" s="214"/>
      <c r="AD16" s="214"/>
      <c r="AE16" s="130"/>
      <c r="AF16" s="130"/>
      <c r="AG16" s="130"/>
      <c r="AH16" s="130"/>
      <c r="AI16" s="130"/>
      <c r="AJ16" s="130">
        <f t="shared" si="185"/>
        <v>0</v>
      </c>
      <c r="AK16" s="130">
        <f t="shared" si="186"/>
        <v>0</v>
      </c>
      <c r="AL16" s="130">
        <f t="shared" si="187"/>
        <v>0</v>
      </c>
      <c r="AM16" s="130">
        <f t="shared" si="188"/>
        <v>0</v>
      </c>
      <c r="AN16" s="130">
        <f t="shared" si="189"/>
        <v>0</v>
      </c>
      <c r="AO16" s="130">
        <f t="shared" si="190"/>
        <v>0</v>
      </c>
      <c r="AP16" s="131">
        <f t="shared" si="116"/>
        <v>0</v>
      </c>
      <c r="AQ16" s="131">
        <f t="shared" si="117"/>
        <v>0</v>
      </c>
      <c r="AR16" s="131">
        <f t="shared" si="118"/>
        <v>0</v>
      </c>
      <c r="AS16" s="131">
        <f t="shared" si="119"/>
        <v>0</v>
      </c>
      <c r="AT16" s="130">
        <f t="shared" si="191"/>
        <v>0</v>
      </c>
      <c r="AU16" s="130">
        <f t="shared" si="121"/>
        <v>0</v>
      </c>
      <c r="AV16" s="130">
        <f t="shared" si="122"/>
        <v>0</v>
      </c>
      <c r="AW16" s="130">
        <f t="shared" si="123"/>
        <v>0</v>
      </c>
      <c r="AX16" s="130">
        <f t="shared" si="124"/>
        <v>0</v>
      </c>
      <c r="AY16" s="130">
        <f t="shared" si="192"/>
        <v>0</v>
      </c>
      <c r="AZ16" s="130">
        <f t="shared" si="193"/>
        <v>0</v>
      </c>
      <c r="BA16" s="130">
        <f t="shared" si="194"/>
        <v>0</v>
      </c>
      <c r="BB16" s="130">
        <f t="shared" si="195"/>
        <v>0</v>
      </c>
      <c r="BC16" s="130">
        <f t="shared" si="196"/>
        <v>0</v>
      </c>
      <c r="BD16" s="130">
        <f t="shared" si="197"/>
        <v>0</v>
      </c>
      <c r="BE16" s="130">
        <f t="shared" si="131"/>
        <v>0</v>
      </c>
      <c r="BF16" s="130">
        <f t="shared" si="132"/>
        <v>0</v>
      </c>
      <c r="BG16" s="130">
        <f t="shared" si="133"/>
        <v>0</v>
      </c>
      <c r="BH16" s="130">
        <f t="shared" si="134"/>
        <v>0</v>
      </c>
      <c r="BI16" s="130">
        <f t="shared" si="198"/>
        <v>0</v>
      </c>
      <c r="BJ16" s="130">
        <f t="shared" si="199"/>
        <v>0</v>
      </c>
      <c r="BK16" s="130">
        <f t="shared" si="200"/>
        <v>0</v>
      </c>
      <c r="BL16" s="130">
        <f t="shared" si="201"/>
        <v>0</v>
      </c>
      <c r="BM16" s="130">
        <f t="shared" si="202"/>
        <v>0</v>
      </c>
      <c r="BN16" s="130">
        <f t="shared" si="203"/>
        <v>0</v>
      </c>
      <c r="BO16" s="132">
        <f t="shared" si="204"/>
        <v>0</v>
      </c>
      <c r="BP16" s="215">
        <v>1</v>
      </c>
      <c r="BQ16" s="215">
        <v>12</v>
      </c>
      <c r="BR16" s="215">
        <v>1</v>
      </c>
      <c r="BS16" s="215">
        <v>12</v>
      </c>
      <c r="BT16" s="133">
        <f t="shared" si="205"/>
        <v>41821</v>
      </c>
      <c r="BU16" s="133">
        <f t="shared" si="206"/>
        <v>42186</v>
      </c>
      <c r="BV16" s="134">
        <f>ROUND((1+VLOOKUP(BT16,IF(VLOOKUP(L16,'Расчет инфляции'!$BD$5:$BF$22,3,0)=2,'Расчет инфляции'!$AJ$5:$AK$370,'Расчет инфляции'!$AO$5:$AP$370),2,0))*(1+IF(VLOOKUP(L16,'Расчет инфляции'!$BD$5:$BF$22,3,0)=2,VLOOKUP(H16,'Расчет инфляции'!$BD$25:$BF$52,2,0),VLOOKUP(H16,'Расчет инфляции'!$BD$25:$BF$52,3,0)))-1,4)-IF(VLOOKUP(L16,'Расчет инфляции'!$BD$5:$BF$22,3,0)=2,VLOOKUP(H16,'Расчет инфляции'!$BD$25:$BH$52,4,0),VLOOKUP(H16,'Расчет инфляции'!$BD$25:$BH$52,5,0))</f>
        <v>5.16E-2</v>
      </c>
      <c r="BW16" s="135">
        <f>ROUND((1+VLOOKUP(BU16,IF(VLOOKUP(L16,'Расчет инфляции'!$BD$5:$BF$22,3,0)=2,'Расчет инфляции'!$AL$5:$AM$370,'Расчет инфляции'!$AQ$5:$AR$370),2,0))*(1+IF(VLOOKUP(L16,'Расчет инфляции'!$BD$5:$BF$22,3,0)=2,VLOOKUP(H16,'Расчет инфляции'!$BD$25:$HJ$52,6,0),VLOOKUP(H16,'Расчет инфляции'!$BD$25:$HJ$52,7,0)))*(1+IF(VLOOKUP(L16,'Расчет инфляции'!$BD$5:$BF$22,3,0)=2,VLOOKUP(H16,'Расчет инфляции'!$BD$25:$BF$52,2,0),VLOOKUP(H16,'Расчет инфляции'!$BD$25:$BF$52,3,0)))-1,4)</f>
        <v>0.1052</v>
      </c>
      <c r="BX16" s="132">
        <f t="shared" si="144"/>
        <v>0</v>
      </c>
      <c r="BY16" s="132">
        <f t="shared" si="145"/>
        <v>0</v>
      </c>
      <c r="BZ16" s="215"/>
      <c r="CB16" s="216"/>
      <c r="CC16" s="216"/>
      <c r="CD16" s="216"/>
      <c r="CE16" s="216"/>
      <c r="CF16" s="216"/>
      <c r="CG16" s="216"/>
      <c r="CH16" s="216"/>
      <c r="CI16" s="216"/>
      <c r="CJ16" s="216"/>
      <c r="CK16" s="216"/>
      <c r="CL16" s="216"/>
      <c r="CM16" s="216"/>
      <c r="CN16" s="216"/>
      <c r="CO16" s="216"/>
      <c r="CP16" s="216"/>
      <c r="CQ16" s="216"/>
      <c r="CR16" s="216"/>
      <c r="CS16" s="216"/>
      <c r="CT16" s="216"/>
      <c r="CU16" s="216"/>
      <c r="CV16" s="216"/>
      <c r="CW16" s="216"/>
      <c r="CX16" s="216"/>
      <c r="CY16" s="216"/>
      <c r="CZ16" s="137"/>
      <c r="DA16" s="214"/>
      <c r="DB16" s="214"/>
      <c r="DC16" s="214"/>
      <c r="DD16" s="214">
        <f t="shared" si="146"/>
        <v>0</v>
      </c>
      <c r="DE16" s="138" t="e">
        <f t="shared" si="147"/>
        <v>#DIV/0!</v>
      </c>
      <c r="DF16" s="219" t="e">
        <f t="shared" si="148"/>
        <v>#DIV/0!</v>
      </c>
      <c r="DG16" s="217">
        <v>1</v>
      </c>
      <c r="DH16" s="220">
        <f t="shared" si="207"/>
        <v>100000</v>
      </c>
      <c r="DI16" s="218">
        <v>100000</v>
      </c>
      <c r="DJ16" s="220">
        <f t="shared" si="150"/>
        <v>0</v>
      </c>
      <c r="DK16" s="220" t="b">
        <f t="shared" si="151"/>
        <v>1</v>
      </c>
    </row>
    <row r="17" spans="1:115" s="136" customFormat="1">
      <c r="A17" s="123">
        <f t="shared" si="152"/>
        <v>14</v>
      </c>
      <c r="B17" s="201"/>
      <c r="C17" s="202"/>
      <c r="D17" s="203"/>
      <c r="E17" s="204"/>
      <c r="F17" s="204">
        <v>0.01</v>
      </c>
      <c r="G17" s="205"/>
      <c r="H17" s="141" t="s">
        <v>130</v>
      </c>
      <c r="I17" s="206"/>
      <c r="J17" s="207"/>
      <c r="K17" s="208"/>
      <c r="L17" s="128" t="s">
        <v>134</v>
      </c>
      <c r="M17" s="210"/>
      <c r="N17" s="211"/>
      <c r="O17" s="211"/>
      <c r="P17" s="211"/>
      <c r="Q17" s="211"/>
      <c r="R17" s="211"/>
      <c r="S17" s="129">
        <f t="shared" si="210"/>
        <v>0</v>
      </c>
      <c r="T17" s="211">
        <f t="shared" si="153"/>
        <v>0</v>
      </c>
      <c r="U17" s="211"/>
      <c r="V17" s="211"/>
      <c r="W17" s="211"/>
      <c r="X17" s="129">
        <f t="shared" si="211"/>
        <v>0</v>
      </c>
      <c r="Y17" s="130">
        <f t="shared" si="183"/>
        <v>0</v>
      </c>
      <c r="Z17" s="130">
        <f t="shared" si="184"/>
        <v>0</v>
      </c>
      <c r="AA17" s="213">
        <f t="shared" si="109"/>
        <v>0</v>
      </c>
      <c r="AB17" s="214"/>
      <c r="AC17" s="214"/>
      <c r="AD17" s="214"/>
      <c r="AE17" s="130"/>
      <c r="AF17" s="130"/>
      <c r="AG17" s="130"/>
      <c r="AH17" s="130"/>
      <c r="AI17" s="130"/>
      <c r="AJ17" s="130">
        <f t="shared" si="185"/>
        <v>0</v>
      </c>
      <c r="AK17" s="130">
        <f t="shared" si="186"/>
        <v>0</v>
      </c>
      <c r="AL17" s="130">
        <f t="shared" si="187"/>
        <v>0</v>
      </c>
      <c r="AM17" s="130">
        <f t="shared" si="188"/>
        <v>0</v>
      </c>
      <c r="AN17" s="130">
        <f t="shared" si="189"/>
        <v>0</v>
      </c>
      <c r="AO17" s="130">
        <f t="shared" si="190"/>
        <v>0</v>
      </c>
      <c r="AP17" s="131">
        <f t="shared" si="116"/>
        <v>0</v>
      </c>
      <c r="AQ17" s="131">
        <f t="shared" si="117"/>
        <v>0</v>
      </c>
      <c r="AR17" s="131">
        <f t="shared" si="118"/>
        <v>0</v>
      </c>
      <c r="AS17" s="131">
        <f t="shared" si="119"/>
        <v>0</v>
      </c>
      <c r="AT17" s="130">
        <f t="shared" si="191"/>
        <v>0</v>
      </c>
      <c r="AU17" s="130">
        <f t="shared" si="121"/>
        <v>0</v>
      </c>
      <c r="AV17" s="130">
        <f t="shared" si="122"/>
        <v>0</v>
      </c>
      <c r="AW17" s="130">
        <f t="shared" si="123"/>
        <v>0</v>
      </c>
      <c r="AX17" s="130">
        <f t="shared" si="124"/>
        <v>0</v>
      </c>
      <c r="AY17" s="130">
        <f t="shared" si="192"/>
        <v>0</v>
      </c>
      <c r="AZ17" s="130">
        <f t="shared" si="193"/>
        <v>0</v>
      </c>
      <c r="BA17" s="130">
        <f t="shared" si="194"/>
        <v>0</v>
      </c>
      <c r="BB17" s="130">
        <f t="shared" si="195"/>
        <v>0</v>
      </c>
      <c r="BC17" s="130">
        <f t="shared" si="196"/>
        <v>0</v>
      </c>
      <c r="BD17" s="130">
        <f t="shared" si="197"/>
        <v>0</v>
      </c>
      <c r="BE17" s="130">
        <f t="shared" si="131"/>
        <v>0</v>
      </c>
      <c r="BF17" s="130">
        <f t="shared" si="132"/>
        <v>0</v>
      </c>
      <c r="BG17" s="130">
        <f t="shared" si="133"/>
        <v>0</v>
      </c>
      <c r="BH17" s="130">
        <f t="shared" si="134"/>
        <v>0</v>
      </c>
      <c r="BI17" s="130">
        <f t="shared" si="198"/>
        <v>0</v>
      </c>
      <c r="BJ17" s="130">
        <f t="shared" si="199"/>
        <v>0</v>
      </c>
      <c r="BK17" s="130">
        <f t="shared" si="200"/>
        <v>0</v>
      </c>
      <c r="BL17" s="130">
        <f t="shared" si="201"/>
        <v>0</v>
      </c>
      <c r="BM17" s="130">
        <f t="shared" si="202"/>
        <v>0</v>
      </c>
      <c r="BN17" s="130">
        <f t="shared" si="203"/>
        <v>0</v>
      </c>
      <c r="BO17" s="132">
        <f t="shared" si="204"/>
        <v>0</v>
      </c>
      <c r="BP17" s="215">
        <v>1</v>
      </c>
      <c r="BQ17" s="215">
        <v>12</v>
      </c>
      <c r="BR17" s="215">
        <v>1</v>
      </c>
      <c r="BS17" s="215">
        <v>12</v>
      </c>
      <c r="BT17" s="133">
        <f t="shared" si="205"/>
        <v>41821</v>
      </c>
      <c r="BU17" s="133">
        <f t="shared" si="206"/>
        <v>42186</v>
      </c>
      <c r="BV17" s="134">
        <f>ROUND((1+VLOOKUP(BT17,IF(VLOOKUP(L17,'Расчет инфляции'!$BD$5:$BF$22,3,0)=2,'Расчет инфляции'!$AJ$5:$AK$370,'Расчет инфляции'!$AO$5:$AP$370),2,0))*(1+IF(VLOOKUP(L17,'Расчет инфляции'!$BD$5:$BF$22,3,0)=2,VLOOKUP(H17,'Расчет инфляции'!$BD$25:$BF$52,2,0),VLOOKUP(H17,'Расчет инфляции'!$BD$25:$BF$52,3,0)))-1,4)-IF(VLOOKUP(L17,'Расчет инфляции'!$BD$5:$BF$22,3,0)=2,VLOOKUP(H17,'Расчет инфляции'!$BD$25:$BH$52,4,0),VLOOKUP(H17,'Расчет инфляции'!$BD$25:$BH$52,5,0))</f>
        <v>5.16E-2</v>
      </c>
      <c r="BW17" s="135">
        <f>ROUND((1+VLOOKUP(BU17,IF(VLOOKUP(L17,'Расчет инфляции'!$BD$5:$BF$22,3,0)=2,'Расчет инфляции'!$AL$5:$AM$370,'Расчет инфляции'!$AQ$5:$AR$370),2,0))*(1+IF(VLOOKUP(L17,'Расчет инфляции'!$BD$5:$BF$22,3,0)=2,VLOOKUP(H17,'Расчет инфляции'!$BD$25:$HJ$52,6,0),VLOOKUP(H17,'Расчет инфляции'!$BD$25:$HJ$52,7,0)))*(1+IF(VLOOKUP(L17,'Расчет инфляции'!$BD$5:$BF$22,3,0)=2,VLOOKUP(H17,'Расчет инфляции'!$BD$25:$BF$52,2,0),VLOOKUP(H17,'Расчет инфляции'!$BD$25:$BF$52,3,0)))-1,4)</f>
        <v>0.1052</v>
      </c>
      <c r="BX17" s="132">
        <f t="shared" si="144"/>
        <v>0</v>
      </c>
      <c r="BY17" s="132">
        <f t="shared" si="145"/>
        <v>0</v>
      </c>
      <c r="BZ17" s="215"/>
      <c r="CB17" s="216"/>
      <c r="CC17" s="216"/>
      <c r="CD17" s="216"/>
      <c r="CE17" s="216"/>
      <c r="CF17" s="216"/>
      <c r="CG17" s="216"/>
      <c r="CH17" s="216"/>
      <c r="CI17" s="216"/>
      <c r="CJ17" s="216"/>
      <c r="CK17" s="216"/>
      <c r="CL17" s="216"/>
      <c r="CM17" s="216"/>
      <c r="CN17" s="216"/>
      <c r="CO17" s="216"/>
      <c r="CP17" s="216"/>
      <c r="CQ17" s="216"/>
      <c r="CR17" s="216"/>
      <c r="CS17" s="216"/>
      <c r="CT17" s="216"/>
      <c r="CU17" s="216"/>
      <c r="CV17" s="216"/>
      <c r="CW17" s="216"/>
      <c r="CX17" s="216"/>
      <c r="CY17" s="216"/>
      <c r="CZ17" s="137"/>
      <c r="DA17" s="214"/>
      <c r="DB17" s="214"/>
      <c r="DC17" s="214"/>
      <c r="DD17" s="214">
        <f t="shared" si="146"/>
        <v>0</v>
      </c>
      <c r="DE17" s="138" t="e">
        <f t="shared" si="147"/>
        <v>#DIV/0!</v>
      </c>
      <c r="DF17" s="219" t="e">
        <f t="shared" si="148"/>
        <v>#DIV/0!</v>
      </c>
      <c r="DG17" s="217">
        <v>1</v>
      </c>
      <c r="DH17" s="220">
        <f t="shared" si="207"/>
        <v>100000</v>
      </c>
      <c r="DI17" s="218">
        <v>100000</v>
      </c>
      <c r="DJ17" s="220">
        <f t="shared" si="150"/>
        <v>0</v>
      </c>
      <c r="DK17" s="220" t="b">
        <f t="shared" si="151"/>
        <v>1</v>
      </c>
    </row>
    <row r="18" spans="1:115" s="136" customFormat="1">
      <c r="A18" s="123">
        <f t="shared" si="152"/>
        <v>15</v>
      </c>
      <c r="B18" s="201"/>
      <c r="C18" s="202"/>
      <c r="D18" s="203"/>
      <c r="E18" s="204"/>
      <c r="F18" s="204">
        <v>0.01</v>
      </c>
      <c r="G18" s="205"/>
      <c r="H18" s="141" t="s">
        <v>130</v>
      </c>
      <c r="I18" s="206"/>
      <c r="J18" s="207"/>
      <c r="K18" s="208"/>
      <c r="L18" s="128" t="s">
        <v>134</v>
      </c>
      <c r="M18" s="210"/>
      <c r="N18" s="211"/>
      <c r="O18" s="211"/>
      <c r="P18" s="211"/>
      <c r="Q18" s="211"/>
      <c r="R18" s="211"/>
      <c r="S18" s="129">
        <f t="shared" si="210"/>
        <v>0</v>
      </c>
      <c r="T18" s="211">
        <f t="shared" si="153"/>
        <v>0</v>
      </c>
      <c r="U18" s="211"/>
      <c r="V18" s="211"/>
      <c r="W18" s="211"/>
      <c r="X18" s="129">
        <f t="shared" si="211"/>
        <v>0</v>
      </c>
      <c r="Y18" s="130">
        <f t="shared" si="183"/>
        <v>0</v>
      </c>
      <c r="Z18" s="130">
        <f t="shared" si="184"/>
        <v>0</v>
      </c>
      <c r="AA18" s="213">
        <f t="shared" si="109"/>
        <v>0</v>
      </c>
      <c r="AB18" s="214"/>
      <c r="AC18" s="214"/>
      <c r="AD18" s="214"/>
      <c r="AE18" s="130"/>
      <c r="AF18" s="130"/>
      <c r="AG18" s="130"/>
      <c r="AH18" s="130"/>
      <c r="AI18" s="130"/>
      <c r="AJ18" s="130">
        <f t="shared" si="185"/>
        <v>0</v>
      </c>
      <c r="AK18" s="130">
        <f t="shared" si="186"/>
        <v>0</v>
      </c>
      <c r="AL18" s="130">
        <f t="shared" si="187"/>
        <v>0</v>
      </c>
      <c r="AM18" s="130">
        <f t="shared" si="188"/>
        <v>0</v>
      </c>
      <c r="AN18" s="130">
        <f t="shared" si="189"/>
        <v>0</v>
      </c>
      <c r="AO18" s="130">
        <f t="shared" si="190"/>
        <v>0</v>
      </c>
      <c r="AP18" s="131">
        <f t="shared" si="116"/>
        <v>0</v>
      </c>
      <c r="AQ18" s="131">
        <f t="shared" si="117"/>
        <v>0</v>
      </c>
      <c r="AR18" s="131">
        <f t="shared" si="118"/>
        <v>0</v>
      </c>
      <c r="AS18" s="131">
        <f t="shared" si="119"/>
        <v>0</v>
      </c>
      <c r="AT18" s="130">
        <f t="shared" si="191"/>
        <v>0</v>
      </c>
      <c r="AU18" s="130">
        <f t="shared" si="121"/>
        <v>0</v>
      </c>
      <c r="AV18" s="130">
        <f t="shared" si="122"/>
        <v>0</v>
      </c>
      <c r="AW18" s="130">
        <f t="shared" si="123"/>
        <v>0</v>
      </c>
      <c r="AX18" s="130">
        <f t="shared" si="124"/>
        <v>0</v>
      </c>
      <c r="AY18" s="130">
        <f t="shared" si="192"/>
        <v>0</v>
      </c>
      <c r="AZ18" s="130">
        <f t="shared" si="193"/>
        <v>0</v>
      </c>
      <c r="BA18" s="130">
        <f t="shared" si="194"/>
        <v>0</v>
      </c>
      <c r="BB18" s="130">
        <f t="shared" si="195"/>
        <v>0</v>
      </c>
      <c r="BC18" s="130">
        <f t="shared" si="196"/>
        <v>0</v>
      </c>
      <c r="BD18" s="130">
        <f t="shared" si="197"/>
        <v>0</v>
      </c>
      <c r="BE18" s="130">
        <f t="shared" si="131"/>
        <v>0</v>
      </c>
      <c r="BF18" s="130">
        <f t="shared" si="132"/>
        <v>0</v>
      </c>
      <c r="BG18" s="130">
        <f t="shared" si="133"/>
        <v>0</v>
      </c>
      <c r="BH18" s="130">
        <f t="shared" si="134"/>
        <v>0</v>
      </c>
      <c r="BI18" s="130">
        <f t="shared" si="198"/>
        <v>0</v>
      </c>
      <c r="BJ18" s="130">
        <f t="shared" si="199"/>
        <v>0</v>
      </c>
      <c r="BK18" s="130">
        <f t="shared" si="200"/>
        <v>0</v>
      </c>
      <c r="BL18" s="130">
        <f t="shared" si="201"/>
        <v>0</v>
      </c>
      <c r="BM18" s="130">
        <f t="shared" si="202"/>
        <v>0</v>
      </c>
      <c r="BN18" s="130">
        <f t="shared" si="203"/>
        <v>0</v>
      </c>
      <c r="BO18" s="132">
        <f t="shared" si="204"/>
        <v>0</v>
      </c>
      <c r="BP18" s="215">
        <v>1</v>
      </c>
      <c r="BQ18" s="215">
        <v>12</v>
      </c>
      <c r="BR18" s="215">
        <v>1</v>
      </c>
      <c r="BS18" s="215">
        <v>12</v>
      </c>
      <c r="BT18" s="133">
        <f t="shared" si="205"/>
        <v>41821</v>
      </c>
      <c r="BU18" s="133">
        <f t="shared" si="206"/>
        <v>42186</v>
      </c>
      <c r="BV18" s="134">
        <f>ROUND((1+VLOOKUP(BT18,IF(VLOOKUP(L18,'Расчет инфляции'!$BD$5:$BF$22,3,0)=2,'Расчет инфляции'!$AJ$5:$AK$370,'Расчет инфляции'!$AO$5:$AP$370),2,0))*(1+IF(VLOOKUP(L18,'Расчет инфляции'!$BD$5:$BF$22,3,0)=2,VLOOKUP(H18,'Расчет инфляции'!$BD$25:$BF$52,2,0),VLOOKUP(H18,'Расчет инфляции'!$BD$25:$BF$52,3,0)))-1,4)-IF(VLOOKUP(L18,'Расчет инфляции'!$BD$5:$BF$22,3,0)=2,VLOOKUP(H18,'Расчет инфляции'!$BD$25:$BH$52,4,0),VLOOKUP(H18,'Расчет инфляции'!$BD$25:$BH$52,5,0))</f>
        <v>5.16E-2</v>
      </c>
      <c r="BW18" s="135">
        <f>ROUND((1+VLOOKUP(BU18,IF(VLOOKUP(L18,'Расчет инфляции'!$BD$5:$BF$22,3,0)=2,'Расчет инфляции'!$AL$5:$AM$370,'Расчет инфляции'!$AQ$5:$AR$370),2,0))*(1+IF(VLOOKUP(L18,'Расчет инфляции'!$BD$5:$BF$22,3,0)=2,VLOOKUP(H18,'Расчет инфляции'!$BD$25:$HJ$52,6,0),VLOOKUP(H18,'Расчет инфляции'!$BD$25:$HJ$52,7,0)))*(1+IF(VLOOKUP(L18,'Расчет инфляции'!$BD$5:$BF$22,3,0)=2,VLOOKUP(H18,'Расчет инфляции'!$BD$25:$BF$52,2,0),VLOOKUP(H18,'Расчет инфляции'!$BD$25:$BF$52,3,0)))-1,4)</f>
        <v>0.1052</v>
      </c>
      <c r="BX18" s="132">
        <f t="shared" si="144"/>
        <v>0</v>
      </c>
      <c r="BY18" s="132">
        <f t="shared" si="145"/>
        <v>0</v>
      </c>
      <c r="BZ18" s="215"/>
      <c r="CB18" s="216"/>
      <c r="CC18" s="216"/>
      <c r="CD18" s="216"/>
      <c r="CE18" s="216"/>
      <c r="CF18" s="216"/>
      <c r="CG18" s="216"/>
      <c r="CH18" s="216"/>
      <c r="CI18" s="216"/>
      <c r="CJ18" s="216"/>
      <c r="CK18" s="216"/>
      <c r="CL18" s="216"/>
      <c r="CM18" s="216"/>
      <c r="CN18" s="216"/>
      <c r="CO18" s="216"/>
      <c r="CP18" s="216"/>
      <c r="CQ18" s="216"/>
      <c r="CR18" s="216"/>
      <c r="CS18" s="216"/>
      <c r="CT18" s="216"/>
      <c r="CU18" s="216"/>
      <c r="CV18" s="216"/>
      <c r="CW18" s="216"/>
      <c r="CX18" s="216"/>
      <c r="CY18" s="216"/>
      <c r="CZ18" s="137"/>
      <c r="DA18" s="214"/>
      <c r="DB18" s="214"/>
      <c r="DC18" s="214"/>
      <c r="DD18" s="214">
        <f t="shared" si="146"/>
        <v>0</v>
      </c>
      <c r="DE18" s="138" t="e">
        <f t="shared" si="147"/>
        <v>#DIV/0!</v>
      </c>
      <c r="DF18" s="219" t="e">
        <f t="shared" si="148"/>
        <v>#DIV/0!</v>
      </c>
      <c r="DG18" s="217">
        <v>1</v>
      </c>
      <c r="DH18" s="220">
        <f t="shared" si="207"/>
        <v>100000</v>
      </c>
      <c r="DI18" s="218">
        <v>100000</v>
      </c>
      <c r="DJ18" s="220">
        <f t="shared" si="150"/>
        <v>0</v>
      </c>
      <c r="DK18" s="220" t="b">
        <f t="shared" si="151"/>
        <v>1</v>
      </c>
    </row>
    <row r="19" spans="1:115" s="136" customFormat="1">
      <c r="A19" s="123">
        <f t="shared" si="152"/>
        <v>16</v>
      </c>
      <c r="B19" s="201"/>
      <c r="C19" s="202"/>
      <c r="D19" s="203"/>
      <c r="E19" s="204"/>
      <c r="F19" s="204">
        <v>0.01</v>
      </c>
      <c r="G19" s="205"/>
      <c r="H19" s="141" t="s">
        <v>130</v>
      </c>
      <c r="I19" s="206"/>
      <c r="J19" s="207"/>
      <c r="K19" s="208"/>
      <c r="L19" s="128" t="s">
        <v>134</v>
      </c>
      <c r="M19" s="210"/>
      <c r="N19" s="211"/>
      <c r="O19" s="211"/>
      <c r="P19" s="211"/>
      <c r="Q19" s="211"/>
      <c r="R19" s="211"/>
      <c r="S19" s="129">
        <f t="shared" si="210"/>
        <v>0</v>
      </c>
      <c r="T19" s="211">
        <f t="shared" si="153"/>
        <v>0</v>
      </c>
      <c r="U19" s="211"/>
      <c r="V19" s="211"/>
      <c r="W19" s="211"/>
      <c r="X19" s="129">
        <f t="shared" si="211"/>
        <v>0</v>
      </c>
      <c r="Y19" s="130">
        <f t="shared" si="183"/>
        <v>0</v>
      </c>
      <c r="Z19" s="130">
        <f t="shared" si="184"/>
        <v>0</v>
      </c>
      <c r="AA19" s="213">
        <f t="shared" si="109"/>
        <v>0</v>
      </c>
      <c r="AB19" s="214"/>
      <c r="AC19" s="214"/>
      <c r="AD19" s="214"/>
      <c r="AE19" s="130"/>
      <c r="AF19" s="130"/>
      <c r="AG19" s="130"/>
      <c r="AH19" s="130"/>
      <c r="AI19" s="130"/>
      <c r="AJ19" s="130">
        <f t="shared" si="185"/>
        <v>0</v>
      </c>
      <c r="AK19" s="130">
        <f t="shared" si="186"/>
        <v>0</v>
      </c>
      <c r="AL19" s="130">
        <f t="shared" si="187"/>
        <v>0</v>
      </c>
      <c r="AM19" s="130">
        <f t="shared" si="188"/>
        <v>0</v>
      </c>
      <c r="AN19" s="130">
        <f t="shared" si="189"/>
        <v>0</v>
      </c>
      <c r="AO19" s="130">
        <f t="shared" si="190"/>
        <v>0</v>
      </c>
      <c r="AP19" s="131">
        <f t="shared" si="116"/>
        <v>0</v>
      </c>
      <c r="AQ19" s="131">
        <f t="shared" si="117"/>
        <v>0</v>
      </c>
      <c r="AR19" s="131">
        <f t="shared" si="118"/>
        <v>0</v>
      </c>
      <c r="AS19" s="131">
        <f t="shared" si="119"/>
        <v>0</v>
      </c>
      <c r="AT19" s="130">
        <f t="shared" si="191"/>
        <v>0</v>
      </c>
      <c r="AU19" s="130">
        <f t="shared" si="121"/>
        <v>0</v>
      </c>
      <c r="AV19" s="130">
        <f t="shared" si="122"/>
        <v>0</v>
      </c>
      <c r="AW19" s="130">
        <f t="shared" si="123"/>
        <v>0</v>
      </c>
      <c r="AX19" s="130">
        <f t="shared" si="124"/>
        <v>0</v>
      </c>
      <c r="AY19" s="130">
        <f t="shared" si="192"/>
        <v>0</v>
      </c>
      <c r="AZ19" s="130">
        <f t="shared" si="193"/>
        <v>0</v>
      </c>
      <c r="BA19" s="130">
        <f t="shared" si="194"/>
        <v>0</v>
      </c>
      <c r="BB19" s="130">
        <f t="shared" si="195"/>
        <v>0</v>
      </c>
      <c r="BC19" s="130">
        <f t="shared" si="196"/>
        <v>0</v>
      </c>
      <c r="BD19" s="130">
        <f t="shared" si="197"/>
        <v>0</v>
      </c>
      <c r="BE19" s="130">
        <f t="shared" si="131"/>
        <v>0</v>
      </c>
      <c r="BF19" s="130">
        <f t="shared" si="132"/>
        <v>0</v>
      </c>
      <c r="BG19" s="130">
        <f t="shared" si="133"/>
        <v>0</v>
      </c>
      <c r="BH19" s="130">
        <f t="shared" si="134"/>
        <v>0</v>
      </c>
      <c r="BI19" s="130">
        <f t="shared" si="198"/>
        <v>0</v>
      </c>
      <c r="BJ19" s="130">
        <f t="shared" si="199"/>
        <v>0</v>
      </c>
      <c r="BK19" s="130">
        <f t="shared" si="200"/>
        <v>0</v>
      </c>
      <c r="BL19" s="130">
        <f t="shared" si="201"/>
        <v>0</v>
      </c>
      <c r="BM19" s="130">
        <f t="shared" si="202"/>
        <v>0</v>
      </c>
      <c r="BN19" s="130">
        <f t="shared" si="203"/>
        <v>0</v>
      </c>
      <c r="BO19" s="132">
        <f t="shared" si="204"/>
        <v>0</v>
      </c>
      <c r="BP19" s="215">
        <v>1</v>
      </c>
      <c r="BQ19" s="215">
        <v>12</v>
      </c>
      <c r="BR19" s="215">
        <v>1</v>
      </c>
      <c r="BS19" s="215">
        <v>12</v>
      </c>
      <c r="BT19" s="133">
        <f t="shared" si="205"/>
        <v>41821</v>
      </c>
      <c r="BU19" s="133">
        <f t="shared" si="206"/>
        <v>42186</v>
      </c>
      <c r="BV19" s="134">
        <f>ROUND((1+VLOOKUP(BT19,IF(VLOOKUP(L19,'Расчет инфляции'!$BD$5:$BF$22,3,0)=2,'Расчет инфляции'!$AJ$5:$AK$370,'Расчет инфляции'!$AO$5:$AP$370),2,0))*(1+IF(VLOOKUP(L19,'Расчет инфляции'!$BD$5:$BF$22,3,0)=2,VLOOKUP(H19,'Расчет инфляции'!$BD$25:$BF$52,2,0),VLOOKUP(H19,'Расчет инфляции'!$BD$25:$BF$52,3,0)))-1,4)-IF(VLOOKUP(L19,'Расчет инфляции'!$BD$5:$BF$22,3,0)=2,VLOOKUP(H19,'Расчет инфляции'!$BD$25:$BH$52,4,0),VLOOKUP(H19,'Расчет инфляции'!$BD$25:$BH$52,5,0))</f>
        <v>5.16E-2</v>
      </c>
      <c r="BW19" s="135">
        <f>ROUND((1+VLOOKUP(BU19,IF(VLOOKUP(L19,'Расчет инфляции'!$BD$5:$BF$22,3,0)=2,'Расчет инфляции'!$AL$5:$AM$370,'Расчет инфляции'!$AQ$5:$AR$370),2,0))*(1+IF(VLOOKUP(L19,'Расчет инфляции'!$BD$5:$BF$22,3,0)=2,VLOOKUP(H19,'Расчет инфляции'!$BD$25:$HJ$52,6,0),VLOOKUP(H19,'Расчет инфляции'!$BD$25:$HJ$52,7,0)))*(1+IF(VLOOKUP(L19,'Расчет инфляции'!$BD$5:$BF$22,3,0)=2,VLOOKUP(H19,'Расчет инфляции'!$BD$25:$BF$52,2,0),VLOOKUP(H19,'Расчет инфляции'!$BD$25:$BF$52,3,0)))-1,4)</f>
        <v>0.1052</v>
      </c>
      <c r="BX19" s="132">
        <f t="shared" si="144"/>
        <v>0</v>
      </c>
      <c r="BY19" s="132">
        <f t="shared" si="145"/>
        <v>0</v>
      </c>
      <c r="BZ19" s="215"/>
      <c r="CB19" s="216"/>
      <c r="CC19" s="216"/>
      <c r="CD19" s="216"/>
      <c r="CE19" s="216"/>
      <c r="CF19" s="216"/>
      <c r="CG19" s="216"/>
      <c r="CH19" s="216"/>
      <c r="CI19" s="216"/>
      <c r="CJ19" s="216"/>
      <c r="CK19" s="216"/>
      <c r="CL19" s="216"/>
      <c r="CM19" s="216"/>
      <c r="CN19" s="216"/>
      <c r="CO19" s="216"/>
      <c r="CP19" s="216"/>
      <c r="CQ19" s="216"/>
      <c r="CR19" s="216"/>
      <c r="CS19" s="216"/>
      <c r="CT19" s="216"/>
      <c r="CU19" s="216"/>
      <c r="CV19" s="216"/>
      <c r="CW19" s="216"/>
      <c r="CX19" s="216"/>
      <c r="CY19" s="216"/>
      <c r="CZ19" s="137"/>
      <c r="DA19" s="214"/>
      <c r="DB19" s="214"/>
      <c r="DC19" s="214"/>
      <c r="DD19" s="214">
        <f t="shared" si="146"/>
        <v>0</v>
      </c>
      <c r="DE19" s="138" t="e">
        <f t="shared" si="147"/>
        <v>#DIV/0!</v>
      </c>
      <c r="DF19" s="219" t="e">
        <f t="shared" si="148"/>
        <v>#DIV/0!</v>
      </c>
      <c r="DG19" s="217">
        <v>1</v>
      </c>
      <c r="DH19" s="220">
        <f t="shared" si="207"/>
        <v>100000</v>
      </c>
      <c r="DI19" s="218">
        <v>100000</v>
      </c>
      <c r="DJ19" s="220">
        <f t="shared" si="150"/>
        <v>0</v>
      </c>
      <c r="DK19" s="220" t="b">
        <f t="shared" si="151"/>
        <v>1</v>
      </c>
    </row>
    <row r="20" spans="1:115" s="136" customFormat="1">
      <c r="A20" s="123">
        <f t="shared" ref="A20:A21" si="212">A19+1</f>
        <v>17</v>
      </c>
      <c r="B20" s="201"/>
      <c r="C20" s="202"/>
      <c r="D20" s="203"/>
      <c r="E20" s="204"/>
      <c r="F20" s="204">
        <v>0.01</v>
      </c>
      <c r="G20" s="205"/>
      <c r="H20" s="141" t="s">
        <v>130</v>
      </c>
      <c r="I20" s="206"/>
      <c r="J20" s="207"/>
      <c r="K20" s="208"/>
      <c r="L20" s="128" t="s">
        <v>134</v>
      </c>
      <c r="M20" s="210"/>
      <c r="N20" s="211"/>
      <c r="O20" s="211"/>
      <c r="P20" s="211"/>
      <c r="Q20" s="211"/>
      <c r="R20" s="211"/>
      <c r="S20" s="129">
        <f t="shared" si="210"/>
        <v>0</v>
      </c>
      <c r="T20" s="211">
        <f t="shared" si="153"/>
        <v>0</v>
      </c>
      <c r="U20" s="211"/>
      <c r="V20" s="211"/>
      <c r="W20" s="211"/>
      <c r="X20" s="129">
        <f t="shared" si="211"/>
        <v>0</v>
      </c>
      <c r="Y20" s="130">
        <f t="shared" si="183"/>
        <v>0</v>
      </c>
      <c r="Z20" s="130">
        <f t="shared" si="184"/>
        <v>0</v>
      </c>
      <c r="AA20" s="213">
        <f t="shared" si="109"/>
        <v>0</v>
      </c>
      <c r="AB20" s="214"/>
      <c r="AC20" s="214"/>
      <c r="AD20" s="214"/>
      <c r="AE20" s="130"/>
      <c r="AF20" s="130"/>
      <c r="AG20" s="130"/>
      <c r="AH20" s="130"/>
      <c r="AI20" s="130"/>
      <c r="AJ20" s="130">
        <f t="shared" si="185"/>
        <v>0</v>
      </c>
      <c r="AK20" s="130">
        <f t="shared" si="186"/>
        <v>0</v>
      </c>
      <c r="AL20" s="130">
        <f t="shared" si="187"/>
        <v>0</v>
      </c>
      <c r="AM20" s="130">
        <f t="shared" si="188"/>
        <v>0</v>
      </c>
      <c r="AN20" s="130">
        <f t="shared" si="189"/>
        <v>0</v>
      </c>
      <c r="AO20" s="130">
        <f t="shared" si="190"/>
        <v>0</v>
      </c>
      <c r="AP20" s="131">
        <f t="shared" si="116"/>
        <v>0</v>
      </c>
      <c r="AQ20" s="131">
        <f t="shared" si="117"/>
        <v>0</v>
      </c>
      <c r="AR20" s="131">
        <f t="shared" si="118"/>
        <v>0</v>
      </c>
      <c r="AS20" s="131">
        <f t="shared" si="119"/>
        <v>0</v>
      </c>
      <c r="AT20" s="130">
        <f t="shared" si="191"/>
        <v>0</v>
      </c>
      <c r="AU20" s="130">
        <f t="shared" si="121"/>
        <v>0</v>
      </c>
      <c r="AV20" s="130">
        <f t="shared" si="122"/>
        <v>0</v>
      </c>
      <c r="AW20" s="130">
        <f t="shared" si="123"/>
        <v>0</v>
      </c>
      <c r="AX20" s="130">
        <f t="shared" si="124"/>
        <v>0</v>
      </c>
      <c r="AY20" s="130">
        <f t="shared" si="192"/>
        <v>0</v>
      </c>
      <c r="AZ20" s="130">
        <f t="shared" si="193"/>
        <v>0</v>
      </c>
      <c r="BA20" s="130">
        <f t="shared" si="194"/>
        <v>0</v>
      </c>
      <c r="BB20" s="130">
        <f t="shared" si="195"/>
        <v>0</v>
      </c>
      <c r="BC20" s="130">
        <f t="shared" si="196"/>
        <v>0</v>
      </c>
      <c r="BD20" s="130">
        <f t="shared" si="197"/>
        <v>0</v>
      </c>
      <c r="BE20" s="130">
        <f t="shared" si="131"/>
        <v>0</v>
      </c>
      <c r="BF20" s="130">
        <f t="shared" si="132"/>
        <v>0</v>
      </c>
      <c r="BG20" s="130">
        <f t="shared" si="133"/>
        <v>0</v>
      </c>
      <c r="BH20" s="130">
        <f t="shared" si="134"/>
        <v>0</v>
      </c>
      <c r="BI20" s="130">
        <f t="shared" si="198"/>
        <v>0</v>
      </c>
      <c r="BJ20" s="130">
        <f t="shared" si="199"/>
        <v>0</v>
      </c>
      <c r="BK20" s="130">
        <f t="shared" si="200"/>
        <v>0</v>
      </c>
      <c r="BL20" s="130">
        <f t="shared" si="201"/>
        <v>0</v>
      </c>
      <c r="BM20" s="130">
        <f t="shared" si="202"/>
        <v>0</v>
      </c>
      <c r="BN20" s="130">
        <f t="shared" si="203"/>
        <v>0</v>
      </c>
      <c r="BO20" s="132">
        <f t="shared" si="204"/>
        <v>0</v>
      </c>
      <c r="BP20" s="215">
        <v>1</v>
      </c>
      <c r="BQ20" s="215">
        <v>12</v>
      </c>
      <c r="BR20" s="215">
        <v>1</v>
      </c>
      <c r="BS20" s="215">
        <v>12</v>
      </c>
      <c r="BT20" s="133">
        <f t="shared" si="205"/>
        <v>41821</v>
      </c>
      <c r="BU20" s="133">
        <f t="shared" si="206"/>
        <v>42186</v>
      </c>
      <c r="BV20" s="134">
        <f>ROUND((1+VLOOKUP(BT20,IF(VLOOKUP(L20,'Расчет инфляции'!$BD$5:$BF$22,3,0)=2,'Расчет инфляции'!$AJ$5:$AK$370,'Расчет инфляции'!$AO$5:$AP$370),2,0))*(1+IF(VLOOKUP(L20,'Расчет инфляции'!$BD$5:$BF$22,3,0)=2,VLOOKUP(H20,'Расчет инфляции'!$BD$25:$BF$52,2,0),VLOOKUP(H20,'Расчет инфляции'!$BD$25:$BF$52,3,0)))-1,4)-IF(VLOOKUP(L20,'Расчет инфляции'!$BD$5:$BF$22,3,0)=2,VLOOKUP(H20,'Расчет инфляции'!$BD$25:$BH$52,4,0),VLOOKUP(H20,'Расчет инфляции'!$BD$25:$BH$52,5,0))</f>
        <v>5.16E-2</v>
      </c>
      <c r="BW20" s="135">
        <f>ROUND((1+VLOOKUP(BU20,IF(VLOOKUP(L20,'Расчет инфляции'!$BD$5:$BF$22,3,0)=2,'Расчет инфляции'!$AL$5:$AM$370,'Расчет инфляции'!$AQ$5:$AR$370),2,0))*(1+IF(VLOOKUP(L20,'Расчет инфляции'!$BD$5:$BF$22,3,0)=2,VLOOKUP(H20,'Расчет инфляции'!$BD$25:$HJ$52,6,0),VLOOKUP(H20,'Расчет инфляции'!$BD$25:$HJ$52,7,0)))*(1+IF(VLOOKUP(L20,'Расчет инфляции'!$BD$5:$BF$22,3,0)=2,VLOOKUP(H20,'Расчет инфляции'!$BD$25:$BF$52,2,0),VLOOKUP(H20,'Расчет инфляции'!$BD$25:$BF$52,3,0)))-1,4)</f>
        <v>0.1052</v>
      </c>
      <c r="BX20" s="132">
        <f t="shared" si="144"/>
        <v>0</v>
      </c>
      <c r="BY20" s="132">
        <f t="shared" si="145"/>
        <v>0</v>
      </c>
      <c r="BZ20" s="215"/>
      <c r="CB20" s="216"/>
      <c r="CC20" s="216"/>
      <c r="CD20" s="216"/>
      <c r="CE20" s="216"/>
      <c r="CF20" s="216"/>
      <c r="CG20" s="216"/>
      <c r="CH20" s="216"/>
      <c r="CI20" s="216"/>
      <c r="CJ20" s="216"/>
      <c r="CK20" s="216"/>
      <c r="CL20" s="216"/>
      <c r="CM20" s="216"/>
      <c r="CN20" s="216"/>
      <c r="CO20" s="216"/>
      <c r="CP20" s="216"/>
      <c r="CQ20" s="216"/>
      <c r="CR20" s="216"/>
      <c r="CS20" s="216"/>
      <c r="CT20" s="216"/>
      <c r="CU20" s="216"/>
      <c r="CV20" s="216"/>
      <c r="CW20" s="216"/>
      <c r="CX20" s="216"/>
      <c r="CY20" s="216"/>
      <c r="CZ20" s="137"/>
      <c r="DA20" s="214"/>
      <c r="DB20" s="214"/>
      <c r="DC20" s="214"/>
      <c r="DD20" s="214">
        <f t="shared" si="146"/>
        <v>0</v>
      </c>
      <c r="DE20" s="138" t="e">
        <f t="shared" si="147"/>
        <v>#DIV/0!</v>
      </c>
      <c r="DF20" s="219" t="e">
        <f t="shared" si="148"/>
        <v>#DIV/0!</v>
      </c>
      <c r="DG20" s="217">
        <v>1</v>
      </c>
      <c r="DH20" s="220">
        <f t="shared" si="207"/>
        <v>100000</v>
      </c>
      <c r="DI20" s="218">
        <v>100000</v>
      </c>
      <c r="DJ20" s="220">
        <f t="shared" si="150"/>
        <v>0</v>
      </c>
      <c r="DK20" s="220" t="b">
        <f t="shared" si="151"/>
        <v>1</v>
      </c>
    </row>
    <row r="21" spans="1:115" s="136" customFormat="1">
      <c r="A21" s="123">
        <f t="shared" si="212"/>
        <v>18</v>
      </c>
      <c r="B21" s="201"/>
      <c r="C21" s="202"/>
      <c r="D21" s="203"/>
      <c r="E21" s="204"/>
      <c r="F21" s="204">
        <v>0.01</v>
      </c>
      <c r="G21" s="205"/>
      <c r="H21" s="141" t="s">
        <v>130</v>
      </c>
      <c r="I21" s="206"/>
      <c r="J21" s="207"/>
      <c r="K21" s="208"/>
      <c r="L21" s="128" t="s">
        <v>134</v>
      </c>
      <c r="M21" s="210"/>
      <c r="N21" s="211"/>
      <c r="O21" s="211"/>
      <c r="P21" s="211"/>
      <c r="Q21" s="211"/>
      <c r="R21" s="211"/>
      <c r="S21" s="129">
        <f t="shared" si="210"/>
        <v>0</v>
      </c>
      <c r="T21" s="211">
        <f t="shared" si="153"/>
        <v>0</v>
      </c>
      <c r="U21" s="211"/>
      <c r="V21" s="211"/>
      <c r="W21" s="211"/>
      <c r="X21" s="129">
        <f t="shared" si="211"/>
        <v>0</v>
      </c>
      <c r="Y21" s="130">
        <f t="shared" si="183"/>
        <v>0</v>
      </c>
      <c r="Z21" s="130">
        <f t="shared" si="184"/>
        <v>0</v>
      </c>
      <c r="AA21" s="213">
        <f t="shared" si="109"/>
        <v>0</v>
      </c>
      <c r="AB21" s="214"/>
      <c r="AC21" s="214"/>
      <c r="AD21" s="214"/>
      <c r="AE21" s="130"/>
      <c r="AF21" s="130"/>
      <c r="AG21" s="130"/>
      <c r="AH21" s="130"/>
      <c r="AI21" s="130"/>
      <c r="AJ21" s="130">
        <f t="shared" si="185"/>
        <v>0</v>
      </c>
      <c r="AK21" s="130">
        <f t="shared" si="186"/>
        <v>0</v>
      </c>
      <c r="AL21" s="130">
        <f t="shared" si="187"/>
        <v>0</v>
      </c>
      <c r="AM21" s="130">
        <f t="shared" si="188"/>
        <v>0</v>
      </c>
      <c r="AN21" s="130">
        <f t="shared" si="189"/>
        <v>0</v>
      </c>
      <c r="AO21" s="130">
        <f t="shared" si="190"/>
        <v>0</v>
      </c>
      <c r="AP21" s="131">
        <f t="shared" si="116"/>
        <v>0</v>
      </c>
      <c r="AQ21" s="131">
        <f t="shared" si="117"/>
        <v>0</v>
      </c>
      <c r="AR21" s="131">
        <f t="shared" si="118"/>
        <v>0</v>
      </c>
      <c r="AS21" s="131">
        <f t="shared" si="119"/>
        <v>0</v>
      </c>
      <c r="AT21" s="130">
        <f t="shared" si="191"/>
        <v>0</v>
      </c>
      <c r="AU21" s="130">
        <f t="shared" si="121"/>
        <v>0</v>
      </c>
      <c r="AV21" s="130">
        <f t="shared" si="122"/>
        <v>0</v>
      </c>
      <c r="AW21" s="130">
        <f t="shared" si="123"/>
        <v>0</v>
      </c>
      <c r="AX21" s="130">
        <f t="shared" si="124"/>
        <v>0</v>
      </c>
      <c r="AY21" s="130">
        <f t="shared" si="192"/>
        <v>0</v>
      </c>
      <c r="AZ21" s="130">
        <f t="shared" si="193"/>
        <v>0</v>
      </c>
      <c r="BA21" s="130">
        <f t="shared" si="194"/>
        <v>0</v>
      </c>
      <c r="BB21" s="130">
        <f t="shared" si="195"/>
        <v>0</v>
      </c>
      <c r="BC21" s="130">
        <f t="shared" si="196"/>
        <v>0</v>
      </c>
      <c r="BD21" s="130">
        <f t="shared" si="197"/>
        <v>0</v>
      </c>
      <c r="BE21" s="130">
        <f t="shared" si="131"/>
        <v>0</v>
      </c>
      <c r="BF21" s="130">
        <f t="shared" si="132"/>
        <v>0</v>
      </c>
      <c r="BG21" s="130">
        <f t="shared" si="133"/>
        <v>0</v>
      </c>
      <c r="BH21" s="130">
        <f t="shared" si="134"/>
        <v>0</v>
      </c>
      <c r="BI21" s="130">
        <f t="shared" si="198"/>
        <v>0</v>
      </c>
      <c r="BJ21" s="130">
        <f t="shared" si="199"/>
        <v>0</v>
      </c>
      <c r="BK21" s="130">
        <f t="shared" si="200"/>
        <v>0</v>
      </c>
      <c r="BL21" s="130">
        <f t="shared" si="201"/>
        <v>0</v>
      </c>
      <c r="BM21" s="130">
        <f t="shared" si="202"/>
        <v>0</v>
      </c>
      <c r="BN21" s="130">
        <f t="shared" si="203"/>
        <v>0</v>
      </c>
      <c r="BO21" s="132">
        <f t="shared" si="204"/>
        <v>0</v>
      </c>
      <c r="BP21" s="215">
        <v>1</v>
      </c>
      <c r="BQ21" s="215">
        <v>12</v>
      </c>
      <c r="BR21" s="215">
        <v>1</v>
      </c>
      <c r="BS21" s="215">
        <v>12</v>
      </c>
      <c r="BT21" s="133">
        <f t="shared" si="205"/>
        <v>41821</v>
      </c>
      <c r="BU21" s="133">
        <f t="shared" si="206"/>
        <v>42186</v>
      </c>
      <c r="BV21" s="134">
        <f>ROUND((1+VLOOKUP(BT21,IF(VLOOKUP(L21,'Расчет инфляции'!$BD$5:$BF$22,3,0)=2,'Расчет инфляции'!$AJ$5:$AK$370,'Расчет инфляции'!$AO$5:$AP$370),2,0))*(1+IF(VLOOKUP(L21,'Расчет инфляции'!$BD$5:$BF$22,3,0)=2,VLOOKUP(H21,'Расчет инфляции'!$BD$25:$BF$52,2,0),VLOOKUP(H21,'Расчет инфляции'!$BD$25:$BF$52,3,0)))-1,4)-IF(VLOOKUP(L21,'Расчет инфляции'!$BD$5:$BF$22,3,0)=2,VLOOKUP(H21,'Расчет инфляции'!$BD$25:$BH$52,4,0),VLOOKUP(H21,'Расчет инфляции'!$BD$25:$BH$52,5,0))</f>
        <v>5.16E-2</v>
      </c>
      <c r="BW21" s="135">
        <f>ROUND((1+VLOOKUP(BU21,IF(VLOOKUP(L21,'Расчет инфляции'!$BD$5:$BF$22,3,0)=2,'Расчет инфляции'!$AL$5:$AM$370,'Расчет инфляции'!$AQ$5:$AR$370),2,0))*(1+IF(VLOOKUP(L21,'Расчет инфляции'!$BD$5:$BF$22,3,0)=2,VLOOKUP(H21,'Расчет инфляции'!$BD$25:$HJ$52,6,0),VLOOKUP(H21,'Расчет инфляции'!$BD$25:$HJ$52,7,0)))*(1+IF(VLOOKUP(L21,'Расчет инфляции'!$BD$5:$BF$22,3,0)=2,VLOOKUP(H21,'Расчет инфляции'!$BD$25:$BF$52,2,0),VLOOKUP(H21,'Расчет инфляции'!$BD$25:$BF$52,3,0)))-1,4)</f>
        <v>0.1052</v>
      </c>
      <c r="BX21" s="132">
        <f t="shared" si="144"/>
        <v>0</v>
      </c>
      <c r="BY21" s="132">
        <f t="shared" si="145"/>
        <v>0</v>
      </c>
      <c r="BZ21" s="215"/>
      <c r="CB21" s="216"/>
      <c r="CC21" s="216"/>
      <c r="CD21" s="216"/>
      <c r="CE21" s="216"/>
      <c r="CF21" s="216"/>
      <c r="CG21" s="216"/>
      <c r="CH21" s="216"/>
      <c r="CI21" s="216"/>
      <c r="CJ21" s="216"/>
      <c r="CK21" s="216"/>
      <c r="CL21" s="216"/>
      <c r="CM21" s="216"/>
      <c r="CN21" s="216"/>
      <c r="CO21" s="216"/>
      <c r="CP21" s="216"/>
      <c r="CQ21" s="216"/>
      <c r="CR21" s="216"/>
      <c r="CS21" s="216"/>
      <c r="CT21" s="216"/>
      <c r="CU21" s="216"/>
      <c r="CV21" s="216"/>
      <c r="CW21" s="216"/>
      <c r="CX21" s="216"/>
      <c r="CY21" s="216"/>
      <c r="CZ21" s="137"/>
      <c r="DA21" s="214"/>
      <c r="DB21" s="214"/>
      <c r="DC21" s="214"/>
      <c r="DD21" s="214">
        <f t="shared" si="146"/>
        <v>0</v>
      </c>
      <c r="DE21" s="138" t="e">
        <f t="shared" si="147"/>
        <v>#DIV/0!</v>
      </c>
      <c r="DF21" s="219" t="e">
        <f t="shared" si="148"/>
        <v>#DIV/0!</v>
      </c>
      <c r="DG21" s="217">
        <v>1</v>
      </c>
      <c r="DH21" s="220">
        <f t="shared" si="207"/>
        <v>100000</v>
      </c>
      <c r="DI21" s="218">
        <v>100000</v>
      </c>
      <c r="DJ21" s="220">
        <f t="shared" si="150"/>
        <v>0</v>
      </c>
      <c r="DK21" s="220" t="b">
        <f t="shared" si="151"/>
        <v>1</v>
      </c>
    </row>
    <row r="22" spans="1:115" s="136" customFormat="1">
      <c r="A22" s="123">
        <f t="shared" ref="A22:A43" si="213">A21+1</f>
        <v>19</v>
      </c>
      <c r="B22" s="201"/>
      <c r="C22" s="202"/>
      <c r="D22" s="203"/>
      <c r="E22" s="204"/>
      <c r="F22" s="204">
        <v>0.01</v>
      </c>
      <c r="G22" s="205"/>
      <c r="H22" s="141" t="s">
        <v>130</v>
      </c>
      <c r="I22" s="206"/>
      <c r="J22" s="207"/>
      <c r="K22" s="208"/>
      <c r="L22" s="128" t="s">
        <v>134</v>
      </c>
      <c r="M22" s="210"/>
      <c r="N22" s="211"/>
      <c r="O22" s="211"/>
      <c r="P22" s="211"/>
      <c r="Q22" s="211"/>
      <c r="R22" s="211"/>
      <c r="S22" s="129">
        <f t="shared" si="210"/>
        <v>0</v>
      </c>
      <c r="T22" s="211">
        <f t="shared" si="153"/>
        <v>0</v>
      </c>
      <c r="U22" s="211"/>
      <c r="V22" s="211"/>
      <c r="W22" s="211"/>
      <c r="X22" s="129">
        <f t="shared" si="211"/>
        <v>0</v>
      </c>
      <c r="Y22" s="130">
        <f t="shared" si="183"/>
        <v>0</v>
      </c>
      <c r="Z22" s="130">
        <f t="shared" si="184"/>
        <v>0</v>
      </c>
      <c r="AA22" s="213">
        <f t="shared" si="109"/>
        <v>0</v>
      </c>
      <c r="AB22" s="214"/>
      <c r="AC22" s="214"/>
      <c r="AD22" s="214"/>
      <c r="AE22" s="130"/>
      <c r="AF22" s="130"/>
      <c r="AG22" s="130"/>
      <c r="AH22" s="130"/>
      <c r="AI22" s="130"/>
      <c r="AJ22" s="130">
        <f t="shared" si="185"/>
        <v>0</v>
      </c>
      <c r="AK22" s="130">
        <f t="shared" si="186"/>
        <v>0</v>
      </c>
      <c r="AL22" s="130">
        <f t="shared" si="187"/>
        <v>0</v>
      </c>
      <c r="AM22" s="130">
        <f t="shared" si="188"/>
        <v>0</v>
      </c>
      <c r="AN22" s="130">
        <f t="shared" si="189"/>
        <v>0</v>
      </c>
      <c r="AO22" s="130">
        <f t="shared" si="190"/>
        <v>0</v>
      </c>
      <c r="AP22" s="131">
        <f t="shared" si="116"/>
        <v>0</v>
      </c>
      <c r="AQ22" s="131">
        <f t="shared" si="117"/>
        <v>0</v>
      </c>
      <c r="AR22" s="131">
        <f t="shared" si="118"/>
        <v>0</v>
      </c>
      <c r="AS22" s="131">
        <f t="shared" si="119"/>
        <v>0</v>
      </c>
      <c r="AT22" s="130">
        <f t="shared" si="191"/>
        <v>0</v>
      </c>
      <c r="AU22" s="130">
        <f t="shared" si="121"/>
        <v>0</v>
      </c>
      <c r="AV22" s="130">
        <f t="shared" si="122"/>
        <v>0</v>
      </c>
      <c r="AW22" s="130">
        <f t="shared" si="123"/>
        <v>0</v>
      </c>
      <c r="AX22" s="130">
        <f t="shared" si="124"/>
        <v>0</v>
      </c>
      <c r="AY22" s="130">
        <f t="shared" si="192"/>
        <v>0</v>
      </c>
      <c r="AZ22" s="130">
        <f t="shared" si="193"/>
        <v>0</v>
      </c>
      <c r="BA22" s="130">
        <f t="shared" si="194"/>
        <v>0</v>
      </c>
      <c r="BB22" s="130">
        <f t="shared" si="195"/>
        <v>0</v>
      </c>
      <c r="BC22" s="130">
        <f t="shared" si="196"/>
        <v>0</v>
      </c>
      <c r="BD22" s="130">
        <f t="shared" si="197"/>
        <v>0</v>
      </c>
      <c r="BE22" s="130">
        <f t="shared" si="131"/>
        <v>0</v>
      </c>
      <c r="BF22" s="130">
        <f t="shared" si="132"/>
        <v>0</v>
      </c>
      <c r="BG22" s="130">
        <f t="shared" si="133"/>
        <v>0</v>
      </c>
      <c r="BH22" s="130">
        <f t="shared" si="134"/>
        <v>0</v>
      </c>
      <c r="BI22" s="130">
        <f t="shared" si="198"/>
        <v>0</v>
      </c>
      <c r="BJ22" s="130">
        <f t="shared" si="199"/>
        <v>0</v>
      </c>
      <c r="BK22" s="130">
        <f t="shared" si="200"/>
        <v>0</v>
      </c>
      <c r="BL22" s="130">
        <f t="shared" si="201"/>
        <v>0</v>
      </c>
      <c r="BM22" s="130">
        <f t="shared" si="202"/>
        <v>0</v>
      </c>
      <c r="BN22" s="130">
        <f t="shared" si="203"/>
        <v>0</v>
      </c>
      <c r="BO22" s="132">
        <f t="shared" si="204"/>
        <v>0</v>
      </c>
      <c r="BP22" s="215">
        <v>1</v>
      </c>
      <c r="BQ22" s="215">
        <v>12</v>
      </c>
      <c r="BR22" s="215">
        <v>1</v>
      </c>
      <c r="BS22" s="215">
        <v>12</v>
      </c>
      <c r="BT22" s="133">
        <f t="shared" si="205"/>
        <v>41821</v>
      </c>
      <c r="BU22" s="133">
        <f t="shared" si="206"/>
        <v>42186</v>
      </c>
      <c r="BV22" s="134">
        <f>ROUND((1+VLOOKUP(BT22,IF(VLOOKUP(L22,'Расчет инфляции'!$BD$5:$BF$22,3,0)=2,'Расчет инфляции'!$AJ$5:$AK$370,'Расчет инфляции'!$AO$5:$AP$370),2,0))*(1+IF(VLOOKUP(L22,'Расчет инфляции'!$BD$5:$BF$22,3,0)=2,VLOOKUP(H22,'Расчет инфляции'!$BD$25:$BF$52,2,0),VLOOKUP(H22,'Расчет инфляции'!$BD$25:$BF$52,3,0)))-1,4)-IF(VLOOKUP(L22,'Расчет инфляции'!$BD$5:$BF$22,3,0)=2,VLOOKUP(H22,'Расчет инфляции'!$BD$25:$BH$52,4,0),VLOOKUP(H22,'Расчет инфляции'!$BD$25:$BH$52,5,0))</f>
        <v>5.16E-2</v>
      </c>
      <c r="BW22" s="135">
        <f>ROUND((1+VLOOKUP(BU22,IF(VLOOKUP(L22,'Расчет инфляции'!$BD$5:$BF$22,3,0)=2,'Расчет инфляции'!$AL$5:$AM$370,'Расчет инфляции'!$AQ$5:$AR$370),2,0))*(1+IF(VLOOKUP(L22,'Расчет инфляции'!$BD$5:$BF$22,3,0)=2,VLOOKUP(H22,'Расчет инфляции'!$BD$25:$HJ$52,6,0),VLOOKUP(H22,'Расчет инфляции'!$BD$25:$HJ$52,7,0)))*(1+IF(VLOOKUP(L22,'Расчет инфляции'!$BD$5:$BF$22,3,0)=2,VLOOKUP(H22,'Расчет инфляции'!$BD$25:$BF$52,2,0),VLOOKUP(H22,'Расчет инфляции'!$BD$25:$BF$52,3,0)))-1,4)</f>
        <v>0.1052</v>
      </c>
      <c r="BX22" s="132">
        <f t="shared" si="144"/>
        <v>0</v>
      </c>
      <c r="BY22" s="132">
        <f t="shared" si="145"/>
        <v>0</v>
      </c>
      <c r="BZ22" s="215"/>
      <c r="CB22" s="216"/>
      <c r="CC22" s="216"/>
      <c r="CD22" s="216"/>
      <c r="CE22" s="216"/>
      <c r="CF22" s="216"/>
      <c r="CG22" s="216"/>
      <c r="CH22" s="216"/>
      <c r="CI22" s="216"/>
      <c r="CJ22" s="216"/>
      <c r="CK22" s="216"/>
      <c r="CL22" s="216"/>
      <c r="CM22" s="216"/>
      <c r="CN22" s="216"/>
      <c r="CO22" s="216"/>
      <c r="CP22" s="216"/>
      <c r="CQ22" s="216"/>
      <c r="CR22" s="216"/>
      <c r="CS22" s="216"/>
      <c r="CT22" s="216"/>
      <c r="CU22" s="216"/>
      <c r="CV22" s="216"/>
      <c r="CW22" s="216"/>
      <c r="CX22" s="216"/>
      <c r="CY22" s="216"/>
      <c r="CZ22" s="137"/>
      <c r="DA22" s="214"/>
      <c r="DB22" s="214"/>
      <c r="DC22" s="214"/>
      <c r="DD22" s="214">
        <f t="shared" si="146"/>
        <v>0</v>
      </c>
      <c r="DE22" s="138" t="e">
        <f t="shared" si="147"/>
        <v>#DIV/0!</v>
      </c>
      <c r="DF22" s="219" t="e">
        <f t="shared" si="148"/>
        <v>#DIV/0!</v>
      </c>
      <c r="DG22" s="217">
        <v>1</v>
      </c>
      <c r="DH22" s="220">
        <f t="shared" si="207"/>
        <v>100000</v>
      </c>
      <c r="DI22" s="218">
        <v>100000</v>
      </c>
      <c r="DJ22" s="220">
        <f t="shared" si="150"/>
        <v>0</v>
      </c>
      <c r="DK22" s="220" t="b">
        <f t="shared" si="151"/>
        <v>1</v>
      </c>
    </row>
    <row r="23" spans="1:115" s="136" customFormat="1">
      <c r="A23" s="123">
        <f t="shared" si="213"/>
        <v>20</v>
      </c>
      <c r="B23" s="201"/>
      <c r="C23" s="202"/>
      <c r="D23" s="203"/>
      <c r="E23" s="204"/>
      <c r="F23" s="204">
        <v>0.01</v>
      </c>
      <c r="G23" s="205"/>
      <c r="H23" s="141" t="s">
        <v>130</v>
      </c>
      <c r="I23" s="206"/>
      <c r="J23" s="207"/>
      <c r="K23" s="208"/>
      <c r="L23" s="128" t="s">
        <v>134</v>
      </c>
      <c r="M23" s="210"/>
      <c r="N23" s="211"/>
      <c r="O23" s="211"/>
      <c r="P23" s="211"/>
      <c r="Q23" s="211"/>
      <c r="R23" s="211"/>
      <c r="S23" s="129">
        <f t="shared" si="210"/>
        <v>0</v>
      </c>
      <c r="T23" s="211">
        <f t="shared" si="153"/>
        <v>0</v>
      </c>
      <c r="U23" s="211"/>
      <c r="V23" s="211"/>
      <c r="W23" s="211"/>
      <c r="X23" s="129">
        <f t="shared" si="211"/>
        <v>0</v>
      </c>
      <c r="Y23" s="130">
        <f t="shared" si="183"/>
        <v>0</v>
      </c>
      <c r="Z23" s="130">
        <f t="shared" si="184"/>
        <v>0</v>
      </c>
      <c r="AA23" s="213">
        <f t="shared" si="109"/>
        <v>0</v>
      </c>
      <c r="AB23" s="214"/>
      <c r="AC23" s="214"/>
      <c r="AD23" s="214"/>
      <c r="AE23" s="130"/>
      <c r="AF23" s="130"/>
      <c r="AG23" s="130"/>
      <c r="AH23" s="130"/>
      <c r="AI23" s="130"/>
      <c r="AJ23" s="130">
        <f t="shared" si="185"/>
        <v>0</v>
      </c>
      <c r="AK23" s="130">
        <f t="shared" si="186"/>
        <v>0</v>
      </c>
      <c r="AL23" s="130">
        <f t="shared" si="187"/>
        <v>0</v>
      </c>
      <c r="AM23" s="130">
        <f t="shared" si="188"/>
        <v>0</v>
      </c>
      <c r="AN23" s="130">
        <f t="shared" si="189"/>
        <v>0</v>
      </c>
      <c r="AO23" s="130">
        <f t="shared" si="190"/>
        <v>0</v>
      </c>
      <c r="AP23" s="131">
        <f t="shared" si="116"/>
        <v>0</v>
      </c>
      <c r="AQ23" s="131">
        <f t="shared" si="117"/>
        <v>0</v>
      </c>
      <c r="AR23" s="131">
        <f t="shared" si="118"/>
        <v>0</v>
      </c>
      <c r="AS23" s="131">
        <f t="shared" si="119"/>
        <v>0</v>
      </c>
      <c r="AT23" s="130">
        <f t="shared" si="191"/>
        <v>0</v>
      </c>
      <c r="AU23" s="130">
        <f t="shared" si="121"/>
        <v>0</v>
      </c>
      <c r="AV23" s="130">
        <f t="shared" si="122"/>
        <v>0</v>
      </c>
      <c r="AW23" s="130">
        <f t="shared" si="123"/>
        <v>0</v>
      </c>
      <c r="AX23" s="130">
        <f t="shared" si="124"/>
        <v>0</v>
      </c>
      <c r="AY23" s="130">
        <f t="shared" si="192"/>
        <v>0</v>
      </c>
      <c r="AZ23" s="130">
        <f t="shared" si="193"/>
        <v>0</v>
      </c>
      <c r="BA23" s="130">
        <f t="shared" si="194"/>
        <v>0</v>
      </c>
      <c r="BB23" s="130">
        <f t="shared" si="195"/>
        <v>0</v>
      </c>
      <c r="BC23" s="130">
        <f t="shared" si="196"/>
        <v>0</v>
      </c>
      <c r="BD23" s="130">
        <f t="shared" si="197"/>
        <v>0</v>
      </c>
      <c r="BE23" s="130">
        <f t="shared" si="131"/>
        <v>0</v>
      </c>
      <c r="BF23" s="130">
        <f t="shared" si="132"/>
        <v>0</v>
      </c>
      <c r="BG23" s="130">
        <f t="shared" si="133"/>
        <v>0</v>
      </c>
      <c r="BH23" s="130">
        <f t="shared" si="134"/>
        <v>0</v>
      </c>
      <c r="BI23" s="130">
        <f t="shared" si="198"/>
        <v>0</v>
      </c>
      <c r="BJ23" s="130">
        <f t="shared" si="199"/>
        <v>0</v>
      </c>
      <c r="BK23" s="130">
        <f t="shared" si="200"/>
        <v>0</v>
      </c>
      <c r="BL23" s="130">
        <f t="shared" si="201"/>
        <v>0</v>
      </c>
      <c r="BM23" s="130">
        <f t="shared" si="202"/>
        <v>0</v>
      </c>
      <c r="BN23" s="130">
        <f t="shared" si="203"/>
        <v>0</v>
      </c>
      <c r="BO23" s="132">
        <f t="shared" si="204"/>
        <v>0</v>
      </c>
      <c r="BP23" s="215">
        <v>1</v>
      </c>
      <c r="BQ23" s="215">
        <v>12</v>
      </c>
      <c r="BR23" s="215">
        <v>1</v>
      </c>
      <c r="BS23" s="215">
        <v>12</v>
      </c>
      <c r="BT23" s="133">
        <f t="shared" si="205"/>
        <v>41821</v>
      </c>
      <c r="BU23" s="133">
        <f t="shared" si="206"/>
        <v>42186</v>
      </c>
      <c r="BV23" s="134">
        <f>ROUND((1+VLOOKUP(BT23,IF(VLOOKUP(L23,'Расчет инфляции'!$BD$5:$BF$22,3,0)=2,'Расчет инфляции'!$AJ$5:$AK$370,'Расчет инфляции'!$AO$5:$AP$370),2,0))*(1+IF(VLOOKUP(L23,'Расчет инфляции'!$BD$5:$BF$22,3,0)=2,VLOOKUP(H23,'Расчет инфляции'!$BD$25:$BF$52,2,0),VLOOKUP(H23,'Расчет инфляции'!$BD$25:$BF$52,3,0)))-1,4)-IF(VLOOKUP(L23,'Расчет инфляции'!$BD$5:$BF$22,3,0)=2,VLOOKUP(H23,'Расчет инфляции'!$BD$25:$BH$52,4,0),VLOOKUP(H23,'Расчет инфляции'!$BD$25:$BH$52,5,0))</f>
        <v>5.16E-2</v>
      </c>
      <c r="BW23" s="135">
        <f>ROUND((1+VLOOKUP(BU23,IF(VLOOKUP(L23,'Расчет инфляции'!$BD$5:$BF$22,3,0)=2,'Расчет инфляции'!$AL$5:$AM$370,'Расчет инфляции'!$AQ$5:$AR$370),2,0))*(1+IF(VLOOKUP(L23,'Расчет инфляции'!$BD$5:$BF$22,3,0)=2,VLOOKUP(H23,'Расчет инфляции'!$BD$25:$HJ$52,6,0),VLOOKUP(H23,'Расчет инфляции'!$BD$25:$HJ$52,7,0)))*(1+IF(VLOOKUP(L23,'Расчет инфляции'!$BD$5:$BF$22,3,0)=2,VLOOKUP(H23,'Расчет инфляции'!$BD$25:$BF$52,2,0),VLOOKUP(H23,'Расчет инфляции'!$BD$25:$BF$52,3,0)))-1,4)</f>
        <v>0.1052</v>
      </c>
      <c r="BX23" s="132">
        <f t="shared" si="144"/>
        <v>0</v>
      </c>
      <c r="BY23" s="132">
        <f t="shared" si="145"/>
        <v>0</v>
      </c>
      <c r="BZ23" s="215"/>
      <c r="CB23" s="216"/>
      <c r="CC23" s="216"/>
      <c r="CD23" s="216"/>
      <c r="CE23" s="216"/>
      <c r="CF23" s="216"/>
      <c r="CG23" s="216"/>
      <c r="CH23" s="216"/>
      <c r="CI23" s="216"/>
      <c r="CJ23" s="216"/>
      <c r="CK23" s="216"/>
      <c r="CL23" s="216"/>
      <c r="CM23" s="216"/>
      <c r="CN23" s="216"/>
      <c r="CO23" s="216"/>
      <c r="CP23" s="216"/>
      <c r="CQ23" s="216"/>
      <c r="CR23" s="216"/>
      <c r="CS23" s="216"/>
      <c r="CT23" s="216"/>
      <c r="CU23" s="216"/>
      <c r="CV23" s="216"/>
      <c r="CW23" s="216"/>
      <c r="CX23" s="216"/>
      <c r="CY23" s="216"/>
      <c r="CZ23" s="137"/>
      <c r="DA23" s="214"/>
      <c r="DB23" s="214"/>
      <c r="DC23" s="214"/>
      <c r="DD23" s="214">
        <f t="shared" si="146"/>
        <v>0</v>
      </c>
      <c r="DE23" s="138" t="e">
        <f t="shared" si="147"/>
        <v>#DIV/0!</v>
      </c>
      <c r="DF23" s="219" t="e">
        <f t="shared" si="148"/>
        <v>#DIV/0!</v>
      </c>
      <c r="DG23" s="217">
        <v>1</v>
      </c>
      <c r="DH23" s="220">
        <f t="shared" si="207"/>
        <v>100000</v>
      </c>
      <c r="DI23" s="218">
        <v>100000</v>
      </c>
      <c r="DJ23" s="220">
        <f t="shared" si="150"/>
        <v>0</v>
      </c>
      <c r="DK23" s="220" t="b">
        <f t="shared" si="151"/>
        <v>1</v>
      </c>
    </row>
    <row r="24" spans="1:115" s="136" customFormat="1">
      <c r="A24" s="123">
        <f t="shared" si="213"/>
        <v>21</v>
      </c>
      <c r="B24" s="201"/>
      <c r="C24" s="202"/>
      <c r="D24" s="203"/>
      <c r="E24" s="204"/>
      <c r="F24" s="204">
        <v>0.01</v>
      </c>
      <c r="G24" s="205"/>
      <c r="H24" s="141" t="s">
        <v>130</v>
      </c>
      <c r="I24" s="206"/>
      <c r="J24" s="207"/>
      <c r="K24" s="208"/>
      <c r="L24" s="128" t="s">
        <v>134</v>
      </c>
      <c r="M24" s="210"/>
      <c r="N24" s="211"/>
      <c r="O24" s="211"/>
      <c r="P24" s="211"/>
      <c r="Q24" s="211"/>
      <c r="R24" s="211"/>
      <c r="S24" s="129">
        <f t="shared" si="210"/>
        <v>0</v>
      </c>
      <c r="T24" s="211">
        <f t="shared" si="153"/>
        <v>0</v>
      </c>
      <c r="U24" s="211"/>
      <c r="V24" s="211"/>
      <c r="W24" s="211"/>
      <c r="X24" s="129">
        <f t="shared" si="211"/>
        <v>0</v>
      </c>
      <c r="Y24" s="130">
        <f t="shared" si="183"/>
        <v>0</v>
      </c>
      <c r="Z24" s="130">
        <f t="shared" si="184"/>
        <v>0</v>
      </c>
      <c r="AA24" s="213">
        <f t="shared" si="109"/>
        <v>0</v>
      </c>
      <c r="AB24" s="214"/>
      <c r="AC24" s="214"/>
      <c r="AD24" s="214"/>
      <c r="AE24" s="130"/>
      <c r="AF24" s="130"/>
      <c r="AG24" s="130"/>
      <c r="AH24" s="130"/>
      <c r="AI24" s="130"/>
      <c r="AJ24" s="130">
        <f>ROUND(SUM(AF24:AI24),0)</f>
        <v>0</v>
      </c>
      <c r="AK24" s="130">
        <f t="shared" si="186"/>
        <v>0</v>
      </c>
      <c r="AL24" s="130">
        <f t="shared" si="187"/>
        <v>0</v>
      </c>
      <c r="AM24" s="130">
        <f t="shared" si="188"/>
        <v>0</v>
      </c>
      <c r="AN24" s="130">
        <f t="shared" si="189"/>
        <v>0</v>
      </c>
      <c r="AO24" s="130">
        <f t="shared" si="190"/>
        <v>0</v>
      </c>
      <c r="AP24" s="131">
        <f t="shared" si="116"/>
        <v>0</v>
      </c>
      <c r="AQ24" s="131">
        <f t="shared" si="117"/>
        <v>0</v>
      </c>
      <c r="AR24" s="131">
        <f t="shared" si="118"/>
        <v>0</v>
      </c>
      <c r="AS24" s="131">
        <f t="shared" si="119"/>
        <v>0</v>
      </c>
      <c r="AT24" s="130">
        <f t="shared" si="191"/>
        <v>0</v>
      </c>
      <c r="AU24" s="130">
        <f t="shared" si="121"/>
        <v>0</v>
      </c>
      <c r="AV24" s="130">
        <f t="shared" si="122"/>
        <v>0</v>
      </c>
      <c r="AW24" s="130">
        <f t="shared" si="123"/>
        <v>0</v>
      </c>
      <c r="AX24" s="130">
        <f t="shared" si="124"/>
        <v>0</v>
      </c>
      <c r="AY24" s="130">
        <f t="shared" si="192"/>
        <v>0</v>
      </c>
      <c r="AZ24" s="130">
        <f t="shared" si="193"/>
        <v>0</v>
      </c>
      <c r="BA24" s="130">
        <f t="shared" si="194"/>
        <v>0</v>
      </c>
      <c r="BB24" s="130">
        <f t="shared" si="195"/>
        <v>0</v>
      </c>
      <c r="BC24" s="130">
        <f t="shared" si="196"/>
        <v>0</v>
      </c>
      <c r="BD24" s="130">
        <f t="shared" si="197"/>
        <v>0</v>
      </c>
      <c r="BE24" s="130">
        <f t="shared" si="131"/>
        <v>0</v>
      </c>
      <c r="BF24" s="130">
        <f t="shared" si="132"/>
        <v>0</v>
      </c>
      <c r="BG24" s="130">
        <f t="shared" si="133"/>
        <v>0</v>
      </c>
      <c r="BH24" s="130">
        <f t="shared" si="134"/>
        <v>0</v>
      </c>
      <c r="BI24" s="130">
        <f t="shared" si="198"/>
        <v>0</v>
      </c>
      <c r="BJ24" s="130">
        <f t="shared" si="199"/>
        <v>0</v>
      </c>
      <c r="BK24" s="130">
        <f t="shared" si="200"/>
        <v>0</v>
      </c>
      <c r="BL24" s="130">
        <f t="shared" si="201"/>
        <v>0</v>
      </c>
      <c r="BM24" s="130">
        <f t="shared" si="202"/>
        <v>0</v>
      </c>
      <c r="BN24" s="130">
        <f t="shared" si="203"/>
        <v>0</v>
      </c>
      <c r="BO24" s="132">
        <f t="shared" si="204"/>
        <v>0</v>
      </c>
      <c r="BP24" s="215">
        <v>1</v>
      </c>
      <c r="BQ24" s="215">
        <v>12</v>
      </c>
      <c r="BR24" s="215">
        <v>1</v>
      </c>
      <c r="BS24" s="215">
        <v>12</v>
      </c>
      <c r="BT24" s="133">
        <f t="shared" si="205"/>
        <v>41821</v>
      </c>
      <c r="BU24" s="133">
        <f t="shared" si="206"/>
        <v>42186</v>
      </c>
      <c r="BV24" s="134">
        <f>ROUND((1+VLOOKUP(BT24,IF(VLOOKUP(L24,'Расчет инфляции'!$BD$5:$BF$22,3,0)=2,'Расчет инфляции'!$AJ$5:$AK$370,'Расчет инфляции'!$AO$5:$AP$370),2,0))*(1+IF(VLOOKUP(L24,'Расчет инфляции'!$BD$5:$BF$22,3,0)=2,VLOOKUP(H24,'Расчет инфляции'!$BD$25:$BF$52,2,0),VLOOKUP(H24,'Расчет инфляции'!$BD$25:$BF$52,3,0)))-1,4)-IF(VLOOKUP(L24,'Расчет инфляции'!$BD$5:$BF$22,3,0)=2,VLOOKUP(H24,'Расчет инфляции'!$BD$25:$BH$52,4,0),VLOOKUP(H24,'Расчет инфляции'!$BD$25:$BH$52,5,0))</f>
        <v>5.16E-2</v>
      </c>
      <c r="BW24" s="135">
        <f>ROUND((1+VLOOKUP(BU24,IF(VLOOKUP(L24,'Расчет инфляции'!$BD$5:$BF$22,3,0)=2,'Расчет инфляции'!$AL$5:$AM$370,'Расчет инфляции'!$AQ$5:$AR$370),2,0))*(1+IF(VLOOKUP(L24,'Расчет инфляции'!$BD$5:$BF$22,3,0)=2,VLOOKUP(H24,'Расчет инфляции'!$BD$25:$HJ$52,6,0),VLOOKUP(H24,'Расчет инфляции'!$BD$25:$HJ$52,7,0)))*(1+IF(VLOOKUP(L24,'Расчет инфляции'!$BD$5:$BF$22,3,0)=2,VLOOKUP(H24,'Расчет инфляции'!$BD$25:$BF$52,2,0),VLOOKUP(H24,'Расчет инфляции'!$BD$25:$BF$52,3,0)))-1,4)</f>
        <v>0.1052</v>
      </c>
      <c r="BX24" s="132">
        <f t="shared" si="144"/>
        <v>0</v>
      </c>
      <c r="BY24" s="132">
        <f t="shared" si="145"/>
        <v>0</v>
      </c>
      <c r="BZ24" s="215"/>
      <c r="CB24" s="216"/>
      <c r="CC24" s="216"/>
      <c r="CD24" s="216"/>
      <c r="CE24" s="216"/>
      <c r="CF24" s="216"/>
      <c r="CG24" s="216"/>
      <c r="CH24" s="216"/>
      <c r="CI24" s="216"/>
      <c r="CJ24" s="216"/>
      <c r="CK24" s="216"/>
      <c r="CL24" s="216"/>
      <c r="CM24" s="216"/>
      <c r="CN24" s="216"/>
      <c r="CO24" s="216"/>
      <c r="CP24" s="216"/>
      <c r="CQ24" s="216"/>
      <c r="CR24" s="216"/>
      <c r="CS24" s="216"/>
      <c r="CT24" s="216"/>
      <c r="CU24" s="216"/>
      <c r="CV24" s="216"/>
      <c r="CW24" s="216"/>
      <c r="CX24" s="216"/>
      <c r="CY24" s="216"/>
      <c r="CZ24" s="137"/>
      <c r="DA24" s="214"/>
      <c r="DB24" s="214"/>
      <c r="DC24" s="214"/>
      <c r="DD24" s="214">
        <f t="shared" si="146"/>
        <v>0</v>
      </c>
      <c r="DE24" s="138" t="e">
        <f t="shared" si="147"/>
        <v>#DIV/0!</v>
      </c>
      <c r="DF24" s="219" t="e">
        <f t="shared" si="148"/>
        <v>#DIV/0!</v>
      </c>
      <c r="DG24" s="217">
        <v>1</v>
      </c>
      <c r="DH24" s="220">
        <f t="shared" si="207"/>
        <v>100000</v>
      </c>
      <c r="DI24" s="218">
        <v>100000</v>
      </c>
      <c r="DJ24" s="220">
        <f t="shared" si="150"/>
        <v>0</v>
      </c>
      <c r="DK24" s="220" t="b">
        <f t="shared" si="151"/>
        <v>1</v>
      </c>
    </row>
    <row r="25" spans="1:115" s="136" customFormat="1">
      <c r="A25" s="123">
        <f t="shared" si="213"/>
        <v>22</v>
      </c>
      <c r="B25" s="201"/>
      <c r="C25" s="202"/>
      <c r="D25" s="203"/>
      <c r="E25" s="204"/>
      <c r="F25" s="204">
        <v>0.01</v>
      </c>
      <c r="G25" s="205"/>
      <c r="H25" s="141" t="s">
        <v>130</v>
      </c>
      <c r="I25" s="206"/>
      <c r="J25" s="207"/>
      <c r="K25" s="208"/>
      <c r="L25" s="128" t="s">
        <v>134</v>
      </c>
      <c r="M25" s="210"/>
      <c r="N25" s="211"/>
      <c r="O25" s="211"/>
      <c r="P25" s="211"/>
      <c r="Q25" s="211"/>
      <c r="R25" s="211"/>
      <c r="S25" s="129">
        <f t="shared" si="210"/>
        <v>0</v>
      </c>
      <c r="T25" s="211">
        <f t="shared" si="153"/>
        <v>0</v>
      </c>
      <c r="U25" s="211"/>
      <c r="V25" s="211"/>
      <c r="W25" s="211"/>
      <c r="X25" s="129">
        <f t="shared" si="211"/>
        <v>0</v>
      </c>
      <c r="Y25" s="130">
        <f t="shared" si="183"/>
        <v>0</v>
      </c>
      <c r="Z25" s="130">
        <f t="shared" si="184"/>
        <v>0</v>
      </c>
      <c r="AA25" s="213">
        <f t="shared" si="109"/>
        <v>0</v>
      </c>
      <c r="AB25" s="214"/>
      <c r="AC25" s="214"/>
      <c r="AD25" s="214"/>
      <c r="AE25" s="130"/>
      <c r="AF25" s="130"/>
      <c r="AG25" s="130"/>
      <c r="AH25" s="130"/>
      <c r="AI25" s="130"/>
      <c r="AJ25" s="130">
        <f t="shared" si="185"/>
        <v>0</v>
      </c>
      <c r="AK25" s="130">
        <f t="shared" si="186"/>
        <v>0</v>
      </c>
      <c r="AL25" s="130">
        <f t="shared" si="187"/>
        <v>0</v>
      </c>
      <c r="AM25" s="130">
        <f t="shared" si="188"/>
        <v>0</v>
      </c>
      <c r="AN25" s="130">
        <f t="shared" si="189"/>
        <v>0</v>
      </c>
      <c r="AO25" s="130">
        <f t="shared" si="190"/>
        <v>0</v>
      </c>
      <c r="AP25" s="131">
        <f t="shared" si="116"/>
        <v>0</v>
      </c>
      <c r="AQ25" s="131">
        <f t="shared" si="117"/>
        <v>0</v>
      </c>
      <c r="AR25" s="131">
        <f t="shared" si="118"/>
        <v>0</v>
      </c>
      <c r="AS25" s="131">
        <f t="shared" si="119"/>
        <v>0</v>
      </c>
      <c r="AT25" s="130">
        <f t="shared" si="191"/>
        <v>0</v>
      </c>
      <c r="AU25" s="130">
        <f t="shared" si="121"/>
        <v>0</v>
      </c>
      <c r="AV25" s="130">
        <f t="shared" si="122"/>
        <v>0</v>
      </c>
      <c r="AW25" s="130">
        <f t="shared" si="123"/>
        <v>0</v>
      </c>
      <c r="AX25" s="130">
        <f t="shared" si="124"/>
        <v>0</v>
      </c>
      <c r="AY25" s="130">
        <f t="shared" si="192"/>
        <v>0</v>
      </c>
      <c r="AZ25" s="130">
        <f t="shared" si="193"/>
        <v>0</v>
      </c>
      <c r="BA25" s="130">
        <f t="shared" si="194"/>
        <v>0</v>
      </c>
      <c r="BB25" s="130">
        <f t="shared" si="195"/>
        <v>0</v>
      </c>
      <c r="BC25" s="130">
        <f t="shared" si="196"/>
        <v>0</v>
      </c>
      <c r="BD25" s="130">
        <f t="shared" si="197"/>
        <v>0</v>
      </c>
      <c r="BE25" s="130">
        <f t="shared" si="131"/>
        <v>0</v>
      </c>
      <c r="BF25" s="130">
        <f t="shared" si="132"/>
        <v>0</v>
      </c>
      <c r="BG25" s="130">
        <f t="shared" si="133"/>
        <v>0</v>
      </c>
      <c r="BH25" s="130">
        <f t="shared" si="134"/>
        <v>0</v>
      </c>
      <c r="BI25" s="130">
        <f t="shared" si="198"/>
        <v>0</v>
      </c>
      <c r="BJ25" s="130">
        <f t="shared" si="199"/>
        <v>0</v>
      </c>
      <c r="BK25" s="130">
        <f t="shared" si="200"/>
        <v>0</v>
      </c>
      <c r="BL25" s="130">
        <f t="shared" si="201"/>
        <v>0</v>
      </c>
      <c r="BM25" s="130">
        <f t="shared" si="202"/>
        <v>0</v>
      </c>
      <c r="BN25" s="130">
        <f t="shared" si="203"/>
        <v>0</v>
      </c>
      <c r="BO25" s="132">
        <f t="shared" si="204"/>
        <v>0</v>
      </c>
      <c r="BP25" s="215">
        <v>1</v>
      </c>
      <c r="BQ25" s="215">
        <v>12</v>
      </c>
      <c r="BR25" s="215">
        <v>1</v>
      </c>
      <c r="BS25" s="215">
        <v>12</v>
      </c>
      <c r="BT25" s="133">
        <f t="shared" si="205"/>
        <v>41821</v>
      </c>
      <c r="BU25" s="133">
        <f t="shared" si="206"/>
        <v>42186</v>
      </c>
      <c r="BV25" s="134">
        <f>ROUND((1+VLOOKUP(BT25,IF(VLOOKUP(L25,'Расчет инфляции'!$BD$5:$BF$22,3,0)=2,'Расчет инфляции'!$AJ$5:$AK$370,'Расчет инфляции'!$AO$5:$AP$370),2,0))*(1+IF(VLOOKUP(L25,'Расчет инфляции'!$BD$5:$BF$22,3,0)=2,VLOOKUP(H25,'Расчет инфляции'!$BD$25:$BF$52,2,0),VLOOKUP(H25,'Расчет инфляции'!$BD$25:$BF$52,3,0)))-1,4)-IF(VLOOKUP(L25,'Расчет инфляции'!$BD$5:$BF$22,3,0)=2,VLOOKUP(H25,'Расчет инфляции'!$BD$25:$BH$52,4,0),VLOOKUP(H25,'Расчет инфляции'!$BD$25:$BH$52,5,0))</f>
        <v>5.16E-2</v>
      </c>
      <c r="BW25" s="135">
        <f>ROUND((1+VLOOKUP(BU25,IF(VLOOKUP(L25,'Расчет инфляции'!$BD$5:$BF$22,3,0)=2,'Расчет инфляции'!$AL$5:$AM$370,'Расчет инфляции'!$AQ$5:$AR$370),2,0))*(1+IF(VLOOKUP(L25,'Расчет инфляции'!$BD$5:$BF$22,3,0)=2,VLOOKUP(H25,'Расчет инфляции'!$BD$25:$HJ$52,6,0),VLOOKUP(H25,'Расчет инфляции'!$BD$25:$HJ$52,7,0)))*(1+IF(VLOOKUP(L25,'Расчет инфляции'!$BD$5:$BF$22,3,0)=2,VLOOKUP(H25,'Расчет инфляции'!$BD$25:$BF$52,2,0),VLOOKUP(H25,'Расчет инфляции'!$BD$25:$BF$52,3,0)))-1,4)</f>
        <v>0.1052</v>
      </c>
      <c r="BX25" s="132">
        <f t="shared" si="144"/>
        <v>0</v>
      </c>
      <c r="BY25" s="132">
        <f t="shared" si="145"/>
        <v>0</v>
      </c>
      <c r="BZ25" s="215"/>
      <c r="CB25" s="216"/>
      <c r="CC25" s="216"/>
      <c r="CD25" s="216"/>
      <c r="CE25" s="216"/>
      <c r="CF25" s="216"/>
      <c r="CG25" s="216"/>
      <c r="CH25" s="216"/>
      <c r="CI25" s="216"/>
      <c r="CJ25" s="216"/>
      <c r="CK25" s="216"/>
      <c r="CL25" s="216"/>
      <c r="CM25" s="216"/>
      <c r="CN25" s="216"/>
      <c r="CO25" s="216"/>
      <c r="CP25" s="216"/>
      <c r="CQ25" s="216"/>
      <c r="CR25" s="216"/>
      <c r="CS25" s="216"/>
      <c r="CT25" s="216"/>
      <c r="CU25" s="216"/>
      <c r="CV25" s="216"/>
      <c r="CW25" s="216"/>
      <c r="CX25" s="216"/>
      <c r="CY25" s="216"/>
      <c r="CZ25" s="137"/>
      <c r="DA25" s="214"/>
      <c r="DB25" s="214"/>
      <c r="DC25" s="214"/>
      <c r="DD25" s="214">
        <f t="shared" si="146"/>
        <v>0</v>
      </c>
      <c r="DE25" s="138" t="e">
        <f t="shared" si="147"/>
        <v>#DIV/0!</v>
      </c>
      <c r="DF25" s="219" t="e">
        <f t="shared" si="148"/>
        <v>#DIV/0!</v>
      </c>
      <c r="DG25" s="217">
        <v>1</v>
      </c>
      <c r="DH25" s="220">
        <f t="shared" si="207"/>
        <v>100000</v>
      </c>
      <c r="DI25" s="218">
        <v>100000</v>
      </c>
      <c r="DJ25" s="220">
        <f t="shared" si="150"/>
        <v>0</v>
      </c>
      <c r="DK25" s="220" t="b">
        <f t="shared" si="151"/>
        <v>1</v>
      </c>
    </row>
    <row r="26" spans="1:115" s="136" customFormat="1">
      <c r="A26" s="123">
        <f t="shared" si="213"/>
        <v>23</v>
      </c>
      <c r="B26" s="201"/>
      <c r="C26" s="202"/>
      <c r="D26" s="203"/>
      <c r="E26" s="204"/>
      <c r="F26" s="204">
        <v>0.01</v>
      </c>
      <c r="G26" s="205"/>
      <c r="H26" s="141" t="s">
        <v>130</v>
      </c>
      <c r="I26" s="206"/>
      <c r="J26" s="207"/>
      <c r="K26" s="208"/>
      <c r="L26" s="128" t="s">
        <v>134</v>
      </c>
      <c r="M26" s="210"/>
      <c r="N26" s="211"/>
      <c r="O26" s="211"/>
      <c r="P26" s="211"/>
      <c r="Q26" s="211"/>
      <c r="R26" s="211"/>
      <c r="S26" s="129">
        <f t="shared" si="210"/>
        <v>0</v>
      </c>
      <c r="T26" s="211">
        <f t="shared" si="153"/>
        <v>0</v>
      </c>
      <c r="U26" s="211"/>
      <c r="V26" s="211"/>
      <c r="W26" s="211"/>
      <c r="X26" s="129">
        <f t="shared" si="211"/>
        <v>0</v>
      </c>
      <c r="Y26" s="130">
        <f t="shared" ref="Y26:Y38" si="214">ROUND($E26*T26,0)</f>
        <v>0</v>
      </c>
      <c r="Z26" s="130">
        <f t="shared" ref="Z26:Z38" si="215">ROUND($E26*U26,0)</f>
        <v>0</v>
      </c>
      <c r="AA26" s="213">
        <f t="shared" si="109"/>
        <v>0</v>
      </c>
      <c r="AB26" s="214"/>
      <c r="AC26" s="214"/>
      <c r="AD26" s="214"/>
      <c r="AE26" s="130"/>
      <c r="AF26" s="130"/>
      <c r="AG26" s="130"/>
      <c r="AH26" s="130"/>
      <c r="AI26" s="130"/>
      <c r="AJ26" s="130">
        <f t="shared" ref="AJ26:AJ38" si="216">ROUND(SUM(AF26:AI26),0)</f>
        <v>0</v>
      </c>
      <c r="AK26" s="130">
        <f t="shared" ref="AK26:AK38" si="217">T26+Y26+AB26+AF26</f>
        <v>0</v>
      </c>
      <c r="AL26" s="130">
        <f t="shared" ref="AL26:AL38" si="218">U26+Z26+AC26+AG26</f>
        <v>0</v>
      </c>
      <c r="AM26" s="130">
        <f t="shared" ref="AM26:AM38" si="219">V26+AH26</f>
        <v>0</v>
      </c>
      <c r="AN26" s="130">
        <f t="shared" ref="AN26:AN38" si="220">W26+AA26+AD26+AE26+AI26</f>
        <v>0</v>
      </c>
      <c r="AO26" s="130">
        <f t="shared" ref="AO26:AO38" si="221">SUM(AK26:AN26)</f>
        <v>0</v>
      </c>
      <c r="AP26" s="131">
        <f t="shared" si="116"/>
        <v>0</v>
      </c>
      <c r="AQ26" s="131">
        <f t="shared" si="117"/>
        <v>0</v>
      </c>
      <c r="AR26" s="131">
        <f t="shared" si="118"/>
        <v>0</v>
      </c>
      <c r="AS26" s="131">
        <f t="shared" si="119"/>
        <v>0</v>
      </c>
      <c r="AT26" s="130">
        <f t="shared" ref="AT26:AT38" si="222">SUM(AP26:AS26)</f>
        <v>0</v>
      </c>
      <c r="AU26" s="130">
        <f t="shared" si="121"/>
        <v>0</v>
      </c>
      <c r="AV26" s="130">
        <f t="shared" si="122"/>
        <v>0</v>
      </c>
      <c r="AW26" s="130">
        <f t="shared" si="123"/>
        <v>0</v>
      </c>
      <c r="AX26" s="130">
        <f t="shared" si="124"/>
        <v>0</v>
      </c>
      <c r="AY26" s="130">
        <f t="shared" ref="AY26:AY38" si="223">SUM(AU26:AX26)</f>
        <v>0</v>
      </c>
      <c r="AZ26" s="130">
        <f t="shared" ref="AZ26:AZ38" si="224">ROUND(18%*SUM(AP26,AU26),0)</f>
        <v>0</v>
      </c>
      <c r="BA26" s="130">
        <f t="shared" ref="BA26:BA38" si="225">ROUND(18%*SUM(AQ26,AV26),0)</f>
        <v>0</v>
      </c>
      <c r="BB26" s="130">
        <f t="shared" ref="BB26:BB38" si="226">ROUND(18%*SUM(AR26,AW26),0)</f>
        <v>0</v>
      </c>
      <c r="BC26" s="130">
        <f t="shared" ref="BC26:BC38" si="227">ROUND(18%*SUM(AS26,AX26),0)</f>
        <v>0</v>
      </c>
      <c r="BD26" s="130">
        <f t="shared" ref="BD26:BD38" si="228">SUM(AZ26:BC26)</f>
        <v>0</v>
      </c>
      <c r="BE26" s="130">
        <f t="shared" si="131"/>
        <v>0</v>
      </c>
      <c r="BF26" s="130">
        <f t="shared" si="132"/>
        <v>0</v>
      </c>
      <c r="BG26" s="130">
        <f t="shared" si="133"/>
        <v>0</v>
      </c>
      <c r="BH26" s="130">
        <f t="shared" si="134"/>
        <v>0</v>
      </c>
      <c r="BI26" s="130">
        <f t="shared" ref="BI26:BI38" si="229">SUM(BE26:BH26)</f>
        <v>0</v>
      </c>
      <c r="BJ26" s="130">
        <f t="shared" ref="BJ26:BJ38" si="230">ROUND(18%*(AK26-AP26+BE26),0)</f>
        <v>0</v>
      </c>
      <c r="BK26" s="130">
        <f t="shared" ref="BK26:BK38" si="231">ROUND(18%*(AL26-AQ26+BF26),0)</f>
        <v>0</v>
      </c>
      <c r="BL26" s="130">
        <f t="shared" ref="BL26:BL38" si="232">ROUND(18%*(AM26-AR26+BG26),0)</f>
        <v>0</v>
      </c>
      <c r="BM26" s="130">
        <f t="shared" ref="BM26:BM38" si="233">ROUND(18%*(AN26-AS26+BH26),0)</f>
        <v>0</v>
      </c>
      <c r="BN26" s="130">
        <f t="shared" ref="BN26:BN38" si="234">SUM(BJ26:BM26)</f>
        <v>0</v>
      </c>
      <c r="BO26" s="132">
        <f t="shared" ref="BO26:BO38" si="235">SUM(AO26,AY26,BD26,BI26,BN26)</f>
        <v>0</v>
      </c>
      <c r="BP26" s="215">
        <v>1</v>
      </c>
      <c r="BQ26" s="215">
        <v>12</v>
      </c>
      <c r="BR26" s="215">
        <v>1</v>
      </c>
      <c r="BS26" s="215">
        <v>12</v>
      </c>
      <c r="BT26" s="133">
        <f t="shared" ref="BT26:BT38" si="236">ROUND((CONCATENATE("15.",BQ26,".2014")-CONCATENATE("15.",BP26,".2014"))/2,0)+CONCATENATE("15.",BP26,".2014")</f>
        <v>41821</v>
      </c>
      <c r="BU26" s="133">
        <f t="shared" ref="BU26:BU38" si="237">ROUND((CONCATENATE("15.",BS26,".2015")-CONCATENATE("15.",BR26,".2015"))/2,0)+CONCATENATE("15.",BR26,".2015")</f>
        <v>42186</v>
      </c>
      <c r="BV26" s="134">
        <f>ROUND((1+VLOOKUP(BT26,IF(VLOOKUP(L26,'Расчет инфляции'!$BD$5:$BF$22,3,0)=2,'Расчет инфляции'!$AJ$5:$AK$370,'Расчет инфляции'!$AO$5:$AP$370),2,0))*(1+IF(VLOOKUP(L26,'Расчет инфляции'!$BD$5:$BF$22,3,0)=2,VLOOKUP(H26,'Расчет инфляции'!$BD$25:$BF$52,2,0),VLOOKUP(H26,'Расчет инфляции'!$BD$25:$BF$52,3,0)))-1,4)-IF(VLOOKUP(L26,'Расчет инфляции'!$BD$5:$BF$22,3,0)=2,VLOOKUP(H26,'Расчет инфляции'!$BD$25:$BH$52,4,0),VLOOKUP(H26,'Расчет инфляции'!$BD$25:$BH$52,5,0))</f>
        <v>5.16E-2</v>
      </c>
      <c r="BW26" s="135">
        <f>ROUND((1+VLOOKUP(BU26,IF(VLOOKUP(L26,'Расчет инфляции'!$BD$5:$BF$22,3,0)=2,'Расчет инфляции'!$AL$5:$AM$370,'Расчет инфляции'!$AQ$5:$AR$370),2,0))*(1+IF(VLOOKUP(L26,'Расчет инфляции'!$BD$5:$BF$22,3,0)=2,VLOOKUP(H26,'Расчет инфляции'!$BD$25:$HJ$52,6,0),VLOOKUP(H26,'Расчет инфляции'!$BD$25:$HJ$52,7,0)))*(1+IF(VLOOKUP(L26,'Расчет инфляции'!$BD$5:$BF$22,3,0)=2,VLOOKUP(H26,'Расчет инфляции'!$BD$25:$BF$52,2,0),VLOOKUP(H26,'Расчет инфляции'!$BD$25:$BF$52,3,0)))-1,4)</f>
        <v>0.1052</v>
      </c>
      <c r="BX26" s="132">
        <f t="shared" si="144"/>
        <v>0</v>
      </c>
      <c r="BY26" s="132">
        <f t="shared" si="145"/>
        <v>0</v>
      </c>
      <c r="BZ26" s="215"/>
      <c r="CB26" s="216"/>
      <c r="CC26" s="216"/>
      <c r="CD26" s="216"/>
      <c r="CE26" s="216"/>
      <c r="CF26" s="216"/>
      <c r="CG26" s="216"/>
      <c r="CH26" s="216"/>
      <c r="CI26" s="216"/>
      <c r="CJ26" s="216"/>
      <c r="CK26" s="216"/>
      <c r="CL26" s="216"/>
      <c r="CM26" s="216"/>
      <c r="CN26" s="216"/>
      <c r="CO26" s="216"/>
      <c r="CP26" s="216"/>
      <c r="CQ26" s="216"/>
      <c r="CR26" s="216"/>
      <c r="CS26" s="216"/>
      <c r="CT26" s="216"/>
      <c r="CU26" s="216"/>
      <c r="CV26" s="216"/>
      <c r="CW26" s="216"/>
      <c r="CX26" s="216"/>
      <c r="CY26" s="216"/>
      <c r="CZ26" s="137"/>
      <c r="DA26" s="214"/>
      <c r="DB26" s="214"/>
      <c r="DC26" s="214"/>
      <c r="DD26" s="214">
        <f t="shared" si="146"/>
        <v>0</v>
      </c>
      <c r="DE26" s="138" t="e">
        <f t="shared" si="147"/>
        <v>#DIV/0!</v>
      </c>
      <c r="DF26" s="219" t="e">
        <f t="shared" si="148"/>
        <v>#DIV/0!</v>
      </c>
      <c r="DG26" s="217">
        <v>1</v>
      </c>
      <c r="DH26" s="220">
        <f t="shared" ref="DH26:DH38" si="238">DG26*DI26</f>
        <v>100000</v>
      </c>
      <c r="DI26" s="218">
        <v>100000</v>
      </c>
      <c r="DJ26" s="220">
        <f t="shared" si="150"/>
        <v>0</v>
      </c>
      <c r="DK26" s="220" t="b">
        <f t="shared" si="151"/>
        <v>1</v>
      </c>
    </row>
    <row r="27" spans="1:115" s="136" customFormat="1">
      <c r="A27" s="123">
        <f t="shared" si="213"/>
        <v>24</v>
      </c>
      <c r="B27" s="201"/>
      <c r="C27" s="202"/>
      <c r="D27" s="203"/>
      <c r="E27" s="204"/>
      <c r="F27" s="204">
        <v>0.01</v>
      </c>
      <c r="G27" s="205"/>
      <c r="H27" s="141" t="s">
        <v>130</v>
      </c>
      <c r="I27" s="206"/>
      <c r="J27" s="207"/>
      <c r="K27" s="208"/>
      <c r="L27" s="128" t="s">
        <v>134</v>
      </c>
      <c r="M27" s="210"/>
      <c r="N27" s="211"/>
      <c r="O27" s="211"/>
      <c r="P27" s="211"/>
      <c r="Q27" s="211"/>
      <c r="R27" s="211"/>
      <c r="S27" s="129">
        <f t="shared" si="210"/>
        <v>0</v>
      </c>
      <c r="T27" s="211">
        <f t="shared" si="153"/>
        <v>0</v>
      </c>
      <c r="U27" s="211"/>
      <c r="V27" s="211"/>
      <c r="W27" s="211"/>
      <c r="X27" s="129">
        <f t="shared" si="211"/>
        <v>0</v>
      </c>
      <c r="Y27" s="130">
        <f t="shared" si="214"/>
        <v>0</v>
      </c>
      <c r="Z27" s="130">
        <f t="shared" si="215"/>
        <v>0</v>
      </c>
      <c r="AA27" s="213">
        <f t="shared" si="109"/>
        <v>0</v>
      </c>
      <c r="AB27" s="214"/>
      <c r="AC27" s="214"/>
      <c r="AD27" s="214"/>
      <c r="AE27" s="130"/>
      <c r="AF27" s="130"/>
      <c r="AG27" s="130"/>
      <c r="AH27" s="130"/>
      <c r="AI27" s="130"/>
      <c r="AJ27" s="130">
        <f t="shared" si="216"/>
        <v>0</v>
      </c>
      <c r="AK27" s="130">
        <f t="shared" si="217"/>
        <v>0</v>
      </c>
      <c r="AL27" s="130">
        <f t="shared" si="218"/>
        <v>0</v>
      </c>
      <c r="AM27" s="130">
        <f t="shared" si="219"/>
        <v>0</v>
      </c>
      <c r="AN27" s="130">
        <f t="shared" si="220"/>
        <v>0</v>
      </c>
      <c r="AO27" s="130">
        <f t="shared" si="221"/>
        <v>0</v>
      </c>
      <c r="AP27" s="131">
        <f t="shared" si="116"/>
        <v>0</v>
      </c>
      <c r="AQ27" s="131">
        <f t="shared" si="117"/>
        <v>0</v>
      </c>
      <c r="AR27" s="131">
        <f t="shared" si="118"/>
        <v>0</v>
      </c>
      <c r="AS27" s="131">
        <f t="shared" si="119"/>
        <v>0</v>
      </c>
      <c r="AT27" s="130">
        <f t="shared" si="222"/>
        <v>0</v>
      </c>
      <c r="AU27" s="130">
        <f t="shared" si="121"/>
        <v>0</v>
      </c>
      <c r="AV27" s="130">
        <f t="shared" si="122"/>
        <v>0</v>
      </c>
      <c r="AW27" s="130">
        <f t="shared" si="123"/>
        <v>0</v>
      </c>
      <c r="AX27" s="130">
        <f t="shared" si="124"/>
        <v>0</v>
      </c>
      <c r="AY27" s="130">
        <f t="shared" si="223"/>
        <v>0</v>
      </c>
      <c r="AZ27" s="130">
        <f t="shared" si="224"/>
        <v>0</v>
      </c>
      <c r="BA27" s="130">
        <f t="shared" si="225"/>
        <v>0</v>
      </c>
      <c r="BB27" s="130">
        <f t="shared" si="226"/>
        <v>0</v>
      </c>
      <c r="BC27" s="130">
        <f t="shared" si="227"/>
        <v>0</v>
      </c>
      <c r="BD27" s="130">
        <f t="shared" si="228"/>
        <v>0</v>
      </c>
      <c r="BE27" s="130">
        <f t="shared" si="131"/>
        <v>0</v>
      </c>
      <c r="BF27" s="130">
        <f t="shared" si="132"/>
        <v>0</v>
      </c>
      <c r="BG27" s="130">
        <f t="shared" si="133"/>
        <v>0</v>
      </c>
      <c r="BH27" s="130">
        <f t="shared" si="134"/>
        <v>0</v>
      </c>
      <c r="BI27" s="130">
        <f t="shared" si="229"/>
        <v>0</v>
      </c>
      <c r="BJ27" s="130">
        <f t="shared" si="230"/>
        <v>0</v>
      </c>
      <c r="BK27" s="130">
        <f t="shared" si="231"/>
        <v>0</v>
      </c>
      <c r="BL27" s="130">
        <f t="shared" si="232"/>
        <v>0</v>
      </c>
      <c r="BM27" s="130">
        <f t="shared" si="233"/>
        <v>0</v>
      </c>
      <c r="BN27" s="130">
        <f t="shared" si="234"/>
        <v>0</v>
      </c>
      <c r="BO27" s="132">
        <f t="shared" si="235"/>
        <v>0</v>
      </c>
      <c r="BP27" s="215">
        <v>1</v>
      </c>
      <c r="BQ27" s="215">
        <v>12</v>
      </c>
      <c r="BR27" s="215">
        <v>1</v>
      </c>
      <c r="BS27" s="215">
        <v>12</v>
      </c>
      <c r="BT27" s="133">
        <f t="shared" si="236"/>
        <v>41821</v>
      </c>
      <c r="BU27" s="133">
        <f t="shared" si="237"/>
        <v>42186</v>
      </c>
      <c r="BV27" s="134">
        <f>ROUND((1+VLOOKUP(BT27,IF(VLOOKUP(L27,'Расчет инфляции'!$BD$5:$BF$22,3,0)=2,'Расчет инфляции'!$AJ$5:$AK$370,'Расчет инфляции'!$AO$5:$AP$370),2,0))*(1+IF(VLOOKUP(L27,'Расчет инфляции'!$BD$5:$BF$22,3,0)=2,VLOOKUP(H27,'Расчет инфляции'!$BD$25:$BF$52,2,0),VLOOKUP(H27,'Расчет инфляции'!$BD$25:$BF$52,3,0)))-1,4)-IF(VLOOKUP(L27,'Расчет инфляции'!$BD$5:$BF$22,3,0)=2,VLOOKUP(H27,'Расчет инфляции'!$BD$25:$BH$52,4,0),VLOOKUP(H27,'Расчет инфляции'!$BD$25:$BH$52,5,0))</f>
        <v>5.16E-2</v>
      </c>
      <c r="BW27" s="135">
        <f>ROUND((1+VLOOKUP(BU27,IF(VLOOKUP(L27,'Расчет инфляции'!$BD$5:$BF$22,3,0)=2,'Расчет инфляции'!$AL$5:$AM$370,'Расчет инфляции'!$AQ$5:$AR$370),2,0))*(1+IF(VLOOKUP(L27,'Расчет инфляции'!$BD$5:$BF$22,3,0)=2,VLOOKUP(H27,'Расчет инфляции'!$BD$25:$HJ$52,6,0),VLOOKUP(H27,'Расчет инфляции'!$BD$25:$HJ$52,7,0)))*(1+IF(VLOOKUP(L27,'Расчет инфляции'!$BD$5:$BF$22,3,0)=2,VLOOKUP(H27,'Расчет инфляции'!$BD$25:$BF$52,2,0),VLOOKUP(H27,'Расчет инфляции'!$BD$25:$BF$52,3,0)))-1,4)</f>
        <v>0.1052</v>
      </c>
      <c r="BX27" s="132">
        <f t="shared" si="144"/>
        <v>0</v>
      </c>
      <c r="BY27" s="132">
        <f t="shared" si="145"/>
        <v>0</v>
      </c>
      <c r="BZ27" s="215"/>
      <c r="CB27" s="216"/>
      <c r="CC27" s="216"/>
      <c r="CD27" s="216"/>
      <c r="CE27" s="216"/>
      <c r="CF27" s="216"/>
      <c r="CG27" s="216"/>
      <c r="CH27" s="216"/>
      <c r="CI27" s="216"/>
      <c r="CJ27" s="216"/>
      <c r="CK27" s="216"/>
      <c r="CL27" s="216"/>
      <c r="CM27" s="216"/>
      <c r="CN27" s="216"/>
      <c r="CO27" s="216"/>
      <c r="CP27" s="216"/>
      <c r="CQ27" s="216"/>
      <c r="CR27" s="216"/>
      <c r="CS27" s="216"/>
      <c r="CT27" s="216"/>
      <c r="CU27" s="216"/>
      <c r="CV27" s="216"/>
      <c r="CW27" s="216"/>
      <c r="CX27" s="216"/>
      <c r="CY27" s="216"/>
      <c r="CZ27" s="137"/>
      <c r="DA27" s="214"/>
      <c r="DB27" s="214"/>
      <c r="DC27" s="214"/>
      <c r="DD27" s="214">
        <f t="shared" si="146"/>
        <v>0</v>
      </c>
      <c r="DE27" s="138" t="e">
        <f t="shared" si="147"/>
        <v>#DIV/0!</v>
      </c>
      <c r="DF27" s="219" t="e">
        <f t="shared" si="148"/>
        <v>#DIV/0!</v>
      </c>
      <c r="DG27" s="217">
        <v>1</v>
      </c>
      <c r="DH27" s="220">
        <f t="shared" si="238"/>
        <v>100000</v>
      </c>
      <c r="DI27" s="218">
        <v>100000</v>
      </c>
      <c r="DJ27" s="220">
        <f t="shared" si="150"/>
        <v>0</v>
      </c>
      <c r="DK27" s="220" t="b">
        <f t="shared" si="151"/>
        <v>1</v>
      </c>
    </row>
    <row r="28" spans="1:115" s="136" customFormat="1">
      <c r="A28" s="123">
        <f t="shared" si="213"/>
        <v>25</v>
      </c>
      <c r="B28" s="201"/>
      <c r="C28" s="202"/>
      <c r="D28" s="203"/>
      <c r="E28" s="204"/>
      <c r="F28" s="204">
        <v>0.01</v>
      </c>
      <c r="G28" s="205"/>
      <c r="H28" s="141" t="s">
        <v>130</v>
      </c>
      <c r="I28" s="206"/>
      <c r="J28" s="207"/>
      <c r="K28" s="208"/>
      <c r="L28" s="128" t="s">
        <v>134</v>
      </c>
      <c r="M28" s="210"/>
      <c r="N28" s="211"/>
      <c r="O28" s="211"/>
      <c r="P28" s="211"/>
      <c r="Q28" s="211"/>
      <c r="R28" s="211"/>
      <c r="S28" s="129">
        <f t="shared" ref="S28:S38" si="239">SUM(N28:R28)</f>
        <v>0</v>
      </c>
      <c r="T28" s="211">
        <f t="shared" si="153"/>
        <v>0</v>
      </c>
      <c r="U28" s="211"/>
      <c r="V28" s="211"/>
      <c r="W28" s="211"/>
      <c r="X28" s="129">
        <f t="shared" ref="X28:X38" si="240">SUM(T28:W28)</f>
        <v>0</v>
      </c>
      <c r="Y28" s="130">
        <f t="shared" si="214"/>
        <v>0</v>
      </c>
      <c r="Z28" s="130">
        <f t="shared" si="215"/>
        <v>0</v>
      </c>
      <c r="AA28" s="213">
        <f t="shared" si="109"/>
        <v>0</v>
      </c>
      <c r="AB28" s="214"/>
      <c r="AC28" s="214"/>
      <c r="AD28" s="214"/>
      <c r="AE28" s="130"/>
      <c r="AF28" s="130"/>
      <c r="AG28" s="130"/>
      <c r="AH28" s="130"/>
      <c r="AI28" s="130"/>
      <c r="AJ28" s="130">
        <f t="shared" si="216"/>
        <v>0</v>
      </c>
      <c r="AK28" s="130">
        <f t="shared" si="217"/>
        <v>0</v>
      </c>
      <c r="AL28" s="130">
        <f t="shared" si="218"/>
        <v>0</v>
      </c>
      <c r="AM28" s="130">
        <f t="shared" si="219"/>
        <v>0</v>
      </c>
      <c r="AN28" s="130">
        <f t="shared" si="220"/>
        <v>0</v>
      </c>
      <c r="AO28" s="130">
        <f t="shared" si="221"/>
        <v>0</v>
      </c>
      <c r="AP28" s="131">
        <f t="shared" si="116"/>
        <v>0</v>
      </c>
      <c r="AQ28" s="131">
        <f t="shared" si="117"/>
        <v>0</v>
      </c>
      <c r="AR28" s="131">
        <f t="shared" si="118"/>
        <v>0</v>
      </c>
      <c r="AS28" s="131">
        <f t="shared" si="119"/>
        <v>0</v>
      </c>
      <c r="AT28" s="130">
        <f t="shared" si="222"/>
        <v>0</v>
      </c>
      <c r="AU28" s="130">
        <f t="shared" si="121"/>
        <v>0</v>
      </c>
      <c r="AV28" s="130">
        <f t="shared" si="122"/>
        <v>0</v>
      </c>
      <c r="AW28" s="130">
        <f t="shared" si="123"/>
        <v>0</v>
      </c>
      <c r="AX28" s="130">
        <f t="shared" si="124"/>
        <v>0</v>
      </c>
      <c r="AY28" s="130">
        <f t="shared" si="223"/>
        <v>0</v>
      </c>
      <c r="AZ28" s="130">
        <f t="shared" si="224"/>
        <v>0</v>
      </c>
      <c r="BA28" s="130">
        <f t="shared" si="225"/>
        <v>0</v>
      </c>
      <c r="BB28" s="130">
        <f t="shared" si="226"/>
        <v>0</v>
      </c>
      <c r="BC28" s="130">
        <f t="shared" si="227"/>
        <v>0</v>
      </c>
      <c r="BD28" s="130">
        <f t="shared" si="228"/>
        <v>0</v>
      </c>
      <c r="BE28" s="130">
        <f t="shared" si="131"/>
        <v>0</v>
      </c>
      <c r="BF28" s="130">
        <f t="shared" si="132"/>
        <v>0</v>
      </c>
      <c r="BG28" s="130">
        <f t="shared" si="133"/>
        <v>0</v>
      </c>
      <c r="BH28" s="130">
        <f t="shared" si="134"/>
        <v>0</v>
      </c>
      <c r="BI28" s="130">
        <f t="shared" si="229"/>
        <v>0</v>
      </c>
      <c r="BJ28" s="130">
        <f t="shared" si="230"/>
        <v>0</v>
      </c>
      <c r="BK28" s="130">
        <f t="shared" si="231"/>
        <v>0</v>
      </c>
      <c r="BL28" s="130">
        <f t="shared" si="232"/>
        <v>0</v>
      </c>
      <c r="BM28" s="130">
        <f t="shared" si="233"/>
        <v>0</v>
      </c>
      <c r="BN28" s="130">
        <f t="shared" si="234"/>
        <v>0</v>
      </c>
      <c r="BO28" s="132">
        <f t="shared" si="235"/>
        <v>0</v>
      </c>
      <c r="BP28" s="215">
        <v>1</v>
      </c>
      <c r="BQ28" s="215">
        <v>12</v>
      </c>
      <c r="BR28" s="215">
        <v>1</v>
      </c>
      <c r="BS28" s="215">
        <v>12</v>
      </c>
      <c r="BT28" s="133">
        <f t="shared" si="236"/>
        <v>41821</v>
      </c>
      <c r="BU28" s="133">
        <f t="shared" si="237"/>
        <v>42186</v>
      </c>
      <c r="BV28" s="134">
        <f>ROUND((1+VLOOKUP(BT28,IF(VLOOKUP(L28,'Расчет инфляции'!$BD$5:$BF$22,3,0)=2,'Расчет инфляции'!$AJ$5:$AK$370,'Расчет инфляции'!$AO$5:$AP$370),2,0))*(1+IF(VLOOKUP(L28,'Расчет инфляции'!$BD$5:$BF$22,3,0)=2,VLOOKUP(H28,'Расчет инфляции'!$BD$25:$BF$52,2,0),VLOOKUP(H28,'Расчет инфляции'!$BD$25:$BF$52,3,0)))-1,4)-IF(VLOOKUP(L28,'Расчет инфляции'!$BD$5:$BF$22,3,0)=2,VLOOKUP(H28,'Расчет инфляции'!$BD$25:$BH$52,4,0),VLOOKUP(H28,'Расчет инфляции'!$BD$25:$BH$52,5,0))</f>
        <v>5.16E-2</v>
      </c>
      <c r="BW28" s="135">
        <f>ROUND((1+VLOOKUP(BU28,IF(VLOOKUP(L28,'Расчет инфляции'!$BD$5:$BF$22,3,0)=2,'Расчет инфляции'!$AL$5:$AM$370,'Расчет инфляции'!$AQ$5:$AR$370),2,0))*(1+IF(VLOOKUP(L28,'Расчет инфляции'!$BD$5:$BF$22,3,0)=2,VLOOKUP(H28,'Расчет инфляции'!$BD$25:$HJ$52,6,0),VLOOKUP(H28,'Расчет инфляции'!$BD$25:$HJ$52,7,0)))*(1+IF(VLOOKUP(L28,'Расчет инфляции'!$BD$5:$BF$22,3,0)=2,VLOOKUP(H28,'Расчет инфляции'!$BD$25:$BF$52,2,0),VLOOKUP(H28,'Расчет инфляции'!$BD$25:$BF$52,3,0)))-1,4)</f>
        <v>0.1052</v>
      </c>
      <c r="BX28" s="132">
        <f t="shared" si="144"/>
        <v>0</v>
      </c>
      <c r="BY28" s="132">
        <f t="shared" si="145"/>
        <v>0</v>
      </c>
      <c r="BZ28" s="215"/>
      <c r="CB28" s="216"/>
      <c r="CC28" s="216"/>
      <c r="CD28" s="216"/>
      <c r="CE28" s="216"/>
      <c r="CF28" s="216"/>
      <c r="CG28" s="216"/>
      <c r="CH28" s="216"/>
      <c r="CI28" s="216"/>
      <c r="CJ28" s="216"/>
      <c r="CK28" s="216"/>
      <c r="CL28" s="216"/>
      <c r="CM28" s="216"/>
      <c r="CN28" s="216"/>
      <c r="CO28" s="216"/>
      <c r="CP28" s="216"/>
      <c r="CQ28" s="216"/>
      <c r="CR28" s="216"/>
      <c r="CS28" s="216"/>
      <c r="CT28" s="216"/>
      <c r="CU28" s="216"/>
      <c r="CV28" s="216"/>
      <c r="CW28" s="216"/>
      <c r="CX28" s="216"/>
      <c r="CY28" s="216"/>
      <c r="CZ28" s="137"/>
      <c r="DA28" s="214"/>
      <c r="DB28" s="214"/>
      <c r="DC28" s="214"/>
      <c r="DD28" s="214">
        <f t="shared" si="146"/>
        <v>0</v>
      </c>
      <c r="DE28" s="138" t="e">
        <f t="shared" si="147"/>
        <v>#DIV/0!</v>
      </c>
      <c r="DF28" s="219" t="e">
        <f t="shared" si="148"/>
        <v>#DIV/0!</v>
      </c>
      <c r="DG28" s="217">
        <v>1</v>
      </c>
      <c r="DH28" s="220">
        <f t="shared" si="238"/>
        <v>100000</v>
      </c>
      <c r="DI28" s="218">
        <v>100000</v>
      </c>
      <c r="DJ28" s="220">
        <f t="shared" si="150"/>
        <v>0</v>
      </c>
      <c r="DK28" s="220" t="b">
        <f t="shared" si="151"/>
        <v>1</v>
      </c>
    </row>
    <row r="29" spans="1:115" s="136" customFormat="1">
      <c r="A29" s="123">
        <f t="shared" si="213"/>
        <v>26</v>
      </c>
      <c r="B29" s="201"/>
      <c r="C29" s="202"/>
      <c r="D29" s="203"/>
      <c r="E29" s="204"/>
      <c r="F29" s="204">
        <v>0.01</v>
      </c>
      <c r="G29" s="205"/>
      <c r="H29" s="141" t="s">
        <v>130</v>
      </c>
      <c r="I29" s="206"/>
      <c r="J29" s="207"/>
      <c r="K29" s="208"/>
      <c r="L29" s="128" t="s">
        <v>134</v>
      </c>
      <c r="M29" s="210"/>
      <c r="N29" s="211"/>
      <c r="O29" s="211"/>
      <c r="P29" s="211"/>
      <c r="Q29" s="211"/>
      <c r="R29" s="211"/>
      <c r="S29" s="129">
        <f t="shared" si="239"/>
        <v>0</v>
      </c>
      <c r="T29" s="211">
        <f t="shared" si="153"/>
        <v>0</v>
      </c>
      <c r="U29" s="211"/>
      <c r="V29" s="211"/>
      <c r="W29" s="211"/>
      <c r="X29" s="129">
        <f t="shared" si="240"/>
        <v>0</v>
      </c>
      <c r="Y29" s="130">
        <f t="shared" si="214"/>
        <v>0</v>
      </c>
      <c r="Z29" s="130">
        <f t="shared" si="215"/>
        <v>0</v>
      </c>
      <c r="AA29" s="213">
        <f t="shared" si="109"/>
        <v>0</v>
      </c>
      <c r="AB29" s="214"/>
      <c r="AC29" s="214"/>
      <c r="AD29" s="214"/>
      <c r="AE29" s="130"/>
      <c r="AF29" s="130"/>
      <c r="AG29" s="130"/>
      <c r="AH29" s="130"/>
      <c r="AI29" s="130"/>
      <c r="AJ29" s="130">
        <f t="shared" si="216"/>
        <v>0</v>
      </c>
      <c r="AK29" s="130">
        <f t="shared" si="217"/>
        <v>0</v>
      </c>
      <c r="AL29" s="130">
        <f t="shared" si="218"/>
        <v>0</v>
      </c>
      <c r="AM29" s="130">
        <f t="shared" si="219"/>
        <v>0</v>
      </c>
      <c r="AN29" s="130">
        <f t="shared" si="220"/>
        <v>0</v>
      </c>
      <c r="AO29" s="130">
        <f t="shared" si="221"/>
        <v>0</v>
      </c>
      <c r="AP29" s="131">
        <f t="shared" si="116"/>
        <v>0</v>
      </c>
      <c r="AQ29" s="131">
        <f t="shared" si="117"/>
        <v>0</v>
      </c>
      <c r="AR29" s="131">
        <f t="shared" si="118"/>
        <v>0</v>
      </c>
      <c r="AS29" s="131">
        <f t="shared" si="119"/>
        <v>0</v>
      </c>
      <c r="AT29" s="130">
        <f t="shared" si="222"/>
        <v>0</v>
      </c>
      <c r="AU29" s="130">
        <f t="shared" si="121"/>
        <v>0</v>
      </c>
      <c r="AV29" s="130">
        <f t="shared" si="122"/>
        <v>0</v>
      </c>
      <c r="AW29" s="130">
        <f t="shared" si="123"/>
        <v>0</v>
      </c>
      <c r="AX29" s="130">
        <f t="shared" si="124"/>
        <v>0</v>
      </c>
      <c r="AY29" s="130">
        <f t="shared" si="223"/>
        <v>0</v>
      </c>
      <c r="AZ29" s="130">
        <f t="shared" si="224"/>
        <v>0</v>
      </c>
      <c r="BA29" s="130">
        <f t="shared" si="225"/>
        <v>0</v>
      </c>
      <c r="BB29" s="130">
        <f t="shared" si="226"/>
        <v>0</v>
      </c>
      <c r="BC29" s="130">
        <f t="shared" si="227"/>
        <v>0</v>
      </c>
      <c r="BD29" s="130">
        <f t="shared" si="228"/>
        <v>0</v>
      </c>
      <c r="BE29" s="130">
        <f t="shared" si="131"/>
        <v>0</v>
      </c>
      <c r="BF29" s="130">
        <f t="shared" si="132"/>
        <v>0</v>
      </c>
      <c r="BG29" s="130">
        <f t="shared" si="133"/>
        <v>0</v>
      </c>
      <c r="BH29" s="130">
        <f t="shared" si="134"/>
        <v>0</v>
      </c>
      <c r="BI29" s="130">
        <f t="shared" si="229"/>
        <v>0</v>
      </c>
      <c r="BJ29" s="130">
        <f t="shared" si="230"/>
        <v>0</v>
      </c>
      <c r="BK29" s="130">
        <f t="shared" si="231"/>
        <v>0</v>
      </c>
      <c r="BL29" s="130">
        <f t="shared" si="232"/>
        <v>0</v>
      </c>
      <c r="BM29" s="130">
        <f t="shared" si="233"/>
        <v>0</v>
      </c>
      <c r="BN29" s="130">
        <f t="shared" si="234"/>
        <v>0</v>
      </c>
      <c r="BO29" s="132">
        <f t="shared" si="235"/>
        <v>0</v>
      </c>
      <c r="BP29" s="215">
        <v>1</v>
      </c>
      <c r="BQ29" s="215">
        <v>12</v>
      </c>
      <c r="BR29" s="215">
        <v>1</v>
      </c>
      <c r="BS29" s="215">
        <v>12</v>
      </c>
      <c r="BT29" s="133">
        <f t="shared" si="236"/>
        <v>41821</v>
      </c>
      <c r="BU29" s="133">
        <f t="shared" si="237"/>
        <v>42186</v>
      </c>
      <c r="BV29" s="134">
        <f>ROUND((1+VLOOKUP(BT29,IF(VLOOKUP(L29,'Расчет инфляции'!$BD$5:$BF$22,3,0)=2,'Расчет инфляции'!$AJ$5:$AK$370,'Расчет инфляции'!$AO$5:$AP$370),2,0))*(1+IF(VLOOKUP(L29,'Расчет инфляции'!$BD$5:$BF$22,3,0)=2,VLOOKUP(H29,'Расчет инфляции'!$BD$25:$BF$52,2,0),VLOOKUP(H29,'Расчет инфляции'!$BD$25:$BF$52,3,0)))-1,4)-IF(VLOOKUP(L29,'Расчет инфляции'!$BD$5:$BF$22,3,0)=2,VLOOKUP(H29,'Расчет инфляции'!$BD$25:$BH$52,4,0),VLOOKUP(H29,'Расчет инфляции'!$BD$25:$BH$52,5,0))</f>
        <v>5.16E-2</v>
      </c>
      <c r="BW29" s="135">
        <f>ROUND((1+VLOOKUP(BU29,IF(VLOOKUP(L29,'Расчет инфляции'!$BD$5:$BF$22,3,0)=2,'Расчет инфляции'!$AL$5:$AM$370,'Расчет инфляции'!$AQ$5:$AR$370),2,0))*(1+IF(VLOOKUP(L29,'Расчет инфляции'!$BD$5:$BF$22,3,0)=2,VLOOKUP(H29,'Расчет инфляции'!$BD$25:$HJ$52,6,0),VLOOKUP(H29,'Расчет инфляции'!$BD$25:$HJ$52,7,0)))*(1+IF(VLOOKUP(L29,'Расчет инфляции'!$BD$5:$BF$22,3,0)=2,VLOOKUP(H29,'Расчет инфляции'!$BD$25:$BF$52,2,0),VLOOKUP(H29,'Расчет инфляции'!$BD$25:$BF$52,3,0)))-1,4)</f>
        <v>0.1052</v>
      </c>
      <c r="BX29" s="132">
        <f t="shared" si="144"/>
        <v>0</v>
      </c>
      <c r="BY29" s="132">
        <f t="shared" si="145"/>
        <v>0</v>
      </c>
      <c r="BZ29" s="215"/>
      <c r="CB29" s="216"/>
      <c r="CC29" s="216"/>
      <c r="CD29" s="216"/>
      <c r="CE29" s="216"/>
      <c r="CF29" s="216"/>
      <c r="CG29" s="216"/>
      <c r="CH29" s="216"/>
      <c r="CI29" s="216"/>
      <c r="CJ29" s="216"/>
      <c r="CK29" s="216"/>
      <c r="CL29" s="216"/>
      <c r="CM29" s="216"/>
      <c r="CN29" s="216"/>
      <c r="CO29" s="216"/>
      <c r="CP29" s="216"/>
      <c r="CQ29" s="216"/>
      <c r="CR29" s="216"/>
      <c r="CS29" s="216"/>
      <c r="CT29" s="216"/>
      <c r="CU29" s="216"/>
      <c r="CV29" s="216"/>
      <c r="CW29" s="216"/>
      <c r="CX29" s="216"/>
      <c r="CY29" s="216"/>
      <c r="CZ29" s="137"/>
      <c r="DA29" s="214"/>
      <c r="DB29" s="214"/>
      <c r="DC29" s="214"/>
      <c r="DD29" s="214">
        <f t="shared" si="146"/>
        <v>0</v>
      </c>
      <c r="DE29" s="138" t="e">
        <f t="shared" si="147"/>
        <v>#DIV/0!</v>
      </c>
      <c r="DF29" s="219" t="e">
        <f t="shared" si="148"/>
        <v>#DIV/0!</v>
      </c>
      <c r="DG29" s="217">
        <v>1</v>
      </c>
      <c r="DH29" s="220">
        <f t="shared" si="238"/>
        <v>100000</v>
      </c>
      <c r="DI29" s="218">
        <v>100000</v>
      </c>
      <c r="DJ29" s="220">
        <f t="shared" si="150"/>
        <v>0</v>
      </c>
      <c r="DK29" s="220" t="b">
        <f t="shared" si="151"/>
        <v>1</v>
      </c>
    </row>
    <row r="30" spans="1:115" s="136" customFormat="1">
      <c r="A30" s="123">
        <f t="shared" si="213"/>
        <v>27</v>
      </c>
      <c r="B30" s="201"/>
      <c r="C30" s="202"/>
      <c r="D30" s="203"/>
      <c r="E30" s="204"/>
      <c r="F30" s="204">
        <v>0.01</v>
      </c>
      <c r="G30" s="205"/>
      <c r="H30" s="141" t="s">
        <v>130</v>
      </c>
      <c r="I30" s="206"/>
      <c r="J30" s="207"/>
      <c r="K30" s="208"/>
      <c r="L30" s="128" t="s">
        <v>134</v>
      </c>
      <c r="M30" s="210"/>
      <c r="N30" s="211"/>
      <c r="O30" s="211"/>
      <c r="P30" s="211"/>
      <c r="Q30" s="211"/>
      <c r="R30" s="211"/>
      <c r="S30" s="129">
        <f t="shared" si="239"/>
        <v>0</v>
      </c>
      <c r="T30" s="211">
        <f t="shared" si="153"/>
        <v>0</v>
      </c>
      <c r="U30" s="211"/>
      <c r="V30" s="211"/>
      <c r="W30" s="211"/>
      <c r="X30" s="129">
        <f t="shared" si="240"/>
        <v>0</v>
      </c>
      <c r="Y30" s="130">
        <f t="shared" si="214"/>
        <v>0</v>
      </c>
      <c r="Z30" s="130">
        <f t="shared" si="215"/>
        <v>0</v>
      </c>
      <c r="AA30" s="213">
        <f t="shared" si="109"/>
        <v>0</v>
      </c>
      <c r="AB30" s="214"/>
      <c r="AC30" s="214"/>
      <c r="AD30" s="214"/>
      <c r="AE30" s="130"/>
      <c r="AF30" s="130"/>
      <c r="AG30" s="130"/>
      <c r="AH30" s="130"/>
      <c r="AI30" s="130"/>
      <c r="AJ30" s="130">
        <f t="shared" si="216"/>
        <v>0</v>
      </c>
      <c r="AK30" s="130">
        <f t="shared" si="217"/>
        <v>0</v>
      </c>
      <c r="AL30" s="130">
        <f t="shared" si="218"/>
        <v>0</v>
      </c>
      <c r="AM30" s="130">
        <f t="shared" si="219"/>
        <v>0</v>
      </c>
      <c r="AN30" s="130">
        <f t="shared" si="220"/>
        <v>0</v>
      </c>
      <c r="AO30" s="130">
        <f t="shared" si="221"/>
        <v>0</v>
      </c>
      <c r="AP30" s="131">
        <f t="shared" si="116"/>
        <v>0</v>
      </c>
      <c r="AQ30" s="131">
        <f t="shared" si="117"/>
        <v>0</v>
      </c>
      <c r="AR30" s="131">
        <f t="shared" si="118"/>
        <v>0</v>
      </c>
      <c r="AS30" s="131">
        <f t="shared" si="119"/>
        <v>0</v>
      </c>
      <c r="AT30" s="130">
        <f t="shared" si="222"/>
        <v>0</v>
      </c>
      <c r="AU30" s="130">
        <f t="shared" si="121"/>
        <v>0</v>
      </c>
      <c r="AV30" s="130">
        <f t="shared" si="122"/>
        <v>0</v>
      </c>
      <c r="AW30" s="130">
        <f t="shared" si="123"/>
        <v>0</v>
      </c>
      <c r="AX30" s="130">
        <f t="shared" si="124"/>
        <v>0</v>
      </c>
      <c r="AY30" s="130">
        <f t="shared" si="223"/>
        <v>0</v>
      </c>
      <c r="AZ30" s="130">
        <f t="shared" si="224"/>
        <v>0</v>
      </c>
      <c r="BA30" s="130">
        <f t="shared" si="225"/>
        <v>0</v>
      </c>
      <c r="BB30" s="130">
        <f t="shared" si="226"/>
        <v>0</v>
      </c>
      <c r="BC30" s="130">
        <f t="shared" si="227"/>
        <v>0</v>
      </c>
      <c r="BD30" s="130">
        <f t="shared" si="228"/>
        <v>0</v>
      </c>
      <c r="BE30" s="130">
        <f t="shared" si="131"/>
        <v>0</v>
      </c>
      <c r="BF30" s="130">
        <f t="shared" si="132"/>
        <v>0</v>
      </c>
      <c r="BG30" s="130">
        <f t="shared" si="133"/>
        <v>0</v>
      </c>
      <c r="BH30" s="130">
        <f t="shared" si="134"/>
        <v>0</v>
      </c>
      <c r="BI30" s="130">
        <f t="shared" si="229"/>
        <v>0</v>
      </c>
      <c r="BJ30" s="130">
        <f t="shared" si="230"/>
        <v>0</v>
      </c>
      <c r="BK30" s="130">
        <f t="shared" si="231"/>
        <v>0</v>
      </c>
      <c r="BL30" s="130">
        <f t="shared" si="232"/>
        <v>0</v>
      </c>
      <c r="BM30" s="130">
        <f t="shared" si="233"/>
        <v>0</v>
      </c>
      <c r="BN30" s="130">
        <f t="shared" si="234"/>
        <v>0</v>
      </c>
      <c r="BO30" s="132">
        <f t="shared" si="235"/>
        <v>0</v>
      </c>
      <c r="BP30" s="215">
        <v>1</v>
      </c>
      <c r="BQ30" s="215">
        <v>12</v>
      </c>
      <c r="BR30" s="215">
        <v>1</v>
      </c>
      <c r="BS30" s="215">
        <v>12</v>
      </c>
      <c r="BT30" s="133">
        <f t="shared" si="236"/>
        <v>41821</v>
      </c>
      <c r="BU30" s="133">
        <f t="shared" si="237"/>
        <v>42186</v>
      </c>
      <c r="BV30" s="134">
        <f>ROUND((1+VLOOKUP(BT30,IF(VLOOKUP(L30,'Расчет инфляции'!$BD$5:$BF$22,3,0)=2,'Расчет инфляции'!$AJ$5:$AK$370,'Расчет инфляции'!$AO$5:$AP$370),2,0))*(1+IF(VLOOKUP(L30,'Расчет инфляции'!$BD$5:$BF$22,3,0)=2,VLOOKUP(H30,'Расчет инфляции'!$BD$25:$BF$52,2,0),VLOOKUP(H30,'Расчет инфляции'!$BD$25:$BF$52,3,0)))-1,4)-IF(VLOOKUP(L30,'Расчет инфляции'!$BD$5:$BF$22,3,0)=2,VLOOKUP(H30,'Расчет инфляции'!$BD$25:$BH$52,4,0),VLOOKUP(H30,'Расчет инфляции'!$BD$25:$BH$52,5,0))</f>
        <v>5.16E-2</v>
      </c>
      <c r="BW30" s="135">
        <f>ROUND((1+VLOOKUP(BU30,IF(VLOOKUP(L30,'Расчет инфляции'!$BD$5:$BF$22,3,0)=2,'Расчет инфляции'!$AL$5:$AM$370,'Расчет инфляции'!$AQ$5:$AR$370),2,0))*(1+IF(VLOOKUP(L30,'Расчет инфляции'!$BD$5:$BF$22,3,0)=2,VLOOKUP(H30,'Расчет инфляции'!$BD$25:$HJ$52,6,0),VLOOKUP(H30,'Расчет инфляции'!$BD$25:$HJ$52,7,0)))*(1+IF(VLOOKUP(L30,'Расчет инфляции'!$BD$5:$BF$22,3,0)=2,VLOOKUP(H30,'Расчет инфляции'!$BD$25:$BF$52,2,0),VLOOKUP(H30,'Расчет инфляции'!$BD$25:$BF$52,3,0)))-1,4)</f>
        <v>0.1052</v>
      </c>
      <c r="BX30" s="132">
        <f t="shared" si="144"/>
        <v>0</v>
      </c>
      <c r="BY30" s="132">
        <f t="shared" si="145"/>
        <v>0</v>
      </c>
      <c r="BZ30" s="215"/>
      <c r="CB30" s="216"/>
      <c r="CC30" s="216"/>
      <c r="CD30" s="216"/>
      <c r="CE30" s="216"/>
      <c r="CF30" s="216"/>
      <c r="CG30" s="216"/>
      <c r="CH30" s="216"/>
      <c r="CI30" s="216"/>
      <c r="CJ30" s="216"/>
      <c r="CK30" s="216"/>
      <c r="CL30" s="216"/>
      <c r="CM30" s="216"/>
      <c r="CN30" s="216"/>
      <c r="CO30" s="216"/>
      <c r="CP30" s="216"/>
      <c r="CQ30" s="216"/>
      <c r="CR30" s="216"/>
      <c r="CS30" s="216"/>
      <c r="CT30" s="216"/>
      <c r="CU30" s="216"/>
      <c r="CV30" s="216"/>
      <c r="CW30" s="216"/>
      <c r="CX30" s="216"/>
      <c r="CY30" s="216"/>
      <c r="CZ30" s="137"/>
      <c r="DA30" s="214"/>
      <c r="DB30" s="214"/>
      <c r="DC30" s="214"/>
      <c r="DD30" s="214">
        <f t="shared" si="146"/>
        <v>0</v>
      </c>
      <c r="DE30" s="138" t="e">
        <f t="shared" si="147"/>
        <v>#DIV/0!</v>
      </c>
      <c r="DF30" s="219" t="e">
        <f t="shared" si="148"/>
        <v>#DIV/0!</v>
      </c>
      <c r="DG30" s="217">
        <v>1</v>
      </c>
      <c r="DH30" s="220">
        <f t="shared" si="238"/>
        <v>100000</v>
      </c>
      <c r="DI30" s="218">
        <v>100000</v>
      </c>
      <c r="DJ30" s="220">
        <f t="shared" si="150"/>
        <v>0</v>
      </c>
      <c r="DK30" s="220" t="b">
        <f t="shared" si="151"/>
        <v>1</v>
      </c>
    </row>
    <row r="31" spans="1:115" s="136" customFormat="1">
      <c r="A31" s="123">
        <f t="shared" si="213"/>
        <v>28</v>
      </c>
      <c r="B31" s="201"/>
      <c r="C31" s="202"/>
      <c r="D31" s="203"/>
      <c r="E31" s="204"/>
      <c r="F31" s="204">
        <v>0.01</v>
      </c>
      <c r="G31" s="205"/>
      <c r="H31" s="141" t="s">
        <v>130</v>
      </c>
      <c r="I31" s="206"/>
      <c r="J31" s="207"/>
      <c r="K31" s="208"/>
      <c r="L31" s="128" t="s">
        <v>134</v>
      </c>
      <c r="M31" s="210"/>
      <c r="N31" s="211"/>
      <c r="O31" s="211"/>
      <c r="P31" s="211"/>
      <c r="Q31" s="211"/>
      <c r="R31" s="211"/>
      <c r="S31" s="129">
        <f t="shared" si="239"/>
        <v>0</v>
      </c>
      <c r="T31" s="211">
        <f t="shared" si="153"/>
        <v>0</v>
      </c>
      <c r="U31" s="211"/>
      <c r="V31" s="211"/>
      <c r="W31" s="211"/>
      <c r="X31" s="129">
        <f t="shared" si="240"/>
        <v>0</v>
      </c>
      <c r="Y31" s="130">
        <f t="shared" si="214"/>
        <v>0</v>
      </c>
      <c r="Z31" s="130">
        <f t="shared" si="215"/>
        <v>0</v>
      </c>
      <c r="AA31" s="213">
        <f t="shared" si="109"/>
        <v>0</v>
      </c>
      <c r="AB31" s="214"/>
      <c r="AC31" s="214"/>
      <c r="AD31" s="214"/>
      <c r="AE31" s="130"/>
      <c r="AF31" s="130"/>
      <c r="AG31" s="130"/>
      <c r="AH31" s="130"/>
      <c r="AI31" s="130"/>
      <c r="AJ31" s="130">
        <f t="shared" si="216"/>
        <v>0</v>
      </c>
      <c r="AK31" s="130">
        <f t="shared" si="217"/>
        <v>0</v>
      </c>
      <c r="AL31" s="130">
        <f t="shared" si="218"/>
        <v>0</v>
      </c>
      <c r="AM31" s="130">
        <f t="shared" si="219"/>
        <v>0</v>
      </c>
      <c r="AN31" s="130">
        <f t="shared" si="220"/>
        <v>0</v>
      </c>
      <c r="AO31" s="130">
        <f t="shared" si="221"/>
        <v>0</v>
      </c>
      <c r="AP31" s="131">
        <f t="shared" si="116"/>
        <v>0</v>
      </c>
      <c r="AQ31" s="131">
        <f t="shared" si="117"/>
        <v>0</v>
      </c>
      <c r="AR31" s="131">
        <f t="shared" si="118"/>
        <v>0</v>
      </c>
      <c r="AS31" s="131">
        <f t="shared" si="119"/>
        <v>0</v>
      </c>
      <c r="AT31" s="130">
        <f t="shared" si="222"/>
        <v>0</v>
      </c>
      <c r="AU31" s="130">
        <f t="shared" si="121"/>
        <v>0</v>
      </c>
      <c r="AV31" s="130">
        <f t="shared" si="122"/>
        <v>0</v>
      </c>
      <c r="AW31" s="130">
        <f t="shared" si="123"/>
        <v>0</v>
      </c>
      <c r="AX31" s="130">
        <f t="shared" si="124"/>
        <v>0</v>
      </c>
      <c r="AY31" s="130">
        <f t="shared" si="223"/>
        <v>0</v>
      </c>
      <c r="AZ31" s="130">
        <f t="shared" si="224"/>
        <v>0</v>
      </c>
      <c r="BA31" s="130">
        <f t="shared" si="225"/>
        <v>0</v>
      </c>
      <c r="BB31" s="130">
        <f t="shared" si="226"/>
        <v>0</v>
      </c>
      <c r="BC31" s="130">
        <f t="shared" si="227"/>
        <v>0</v>
      </c>
      <c r="BD31" s="130">
        <f t="shared" si="228"/>
        <v>0</v>
      </c>
      <c r="BE31" s="130">
        <f t="shared" si="131"/>
        <v>0</v>
      </c>
      <c r="BF31" s="130">
        <f t="shared" si="132"/>
        <v>0</v>
      </c>
      <c r="BG31" s="130">
        <f t="shared" si="133"/>
        <v>0</v>
      </c>
      <c r="BH31" s="130">
        <f t="shared" si="134"/>
        <v>0</v>
      </c>
      <c r="BI31" s="130">
        <f t="shared" si="229"/>
        <v>0</v>
      </c>
      <c r="BJ31" s="130">
        <f t="shared" si="230"/>
        <v>0</v>
      </c>
      <c r="BK31" s="130">
        <f t="shared" si="231"/>
        <v>0</v>
      </c>
      <c r="BL31" s="130">
        <f t="shared" si="232"/>
        <v>0</v>
      </c>
      <c r="BM31" s="130">
        <f t="shared" si="233"/>
        <v>0</v>
      </c>
      <c r="BN31" s="130">
        <f t="shared" si="234"/>
        <v>0</v>
      </c>
      <c r="BO31" s="132">
        <f t="shared" si="235"/>
        <v>0</v>
      </c>
      <c r="BP31" s="215">
        <v>1</v>
      </c>
      <c r="BQ31" s="215">
        <v>12</v>
      </c>
      <c r="BR31" s="215">
        <v>1</v>
      </c>
      <c r="BS31" s="215">
        <v>12</v>
      </c>
      <c r="BT31" s="133">
        <f t="shared" si="236"/>
        <v>41821</v>
      </c>
      <c r="BU31" s="133">
        <f t="shared" si="237"/>
        <v>42186</v>
      </c>
      <c r="BV31" s="134">
        <f>ROUND((1+VLOOKUP(BT31,IF(VLOOKUP(L31,'Расчет инфляции'!$BD$5:$BF$22,3,0)=2,'Расчет инфляции'!$AJ$5:$AK$370,'Расчет инфляции'!$AO$5:$AP$370),2,0))*(1+IF(VLOOKUP(L31,'Расчет инфляции'!$BD$5:$BF$22,3,0)=2,VLOOKUP(H31,'Расчет инфляции'!$BD$25:$BF$52,2,0),VLOOKUP(H31,'Расчет инфляции'!$BD$25:$BF$52,3,0)))-1,4)-IF(VLOOKUP(L31,'Расчет инфляции'!$BD$5:$BF$22,3,0)=2,VLOOKUP(H31,'Расчет инфляции'!$BD$25:$BH$52,4,0),VLOOKUP(H31,'Расчет инфляции'!$BD$25:$BH$52,5,0))</f>
        <v>5.16E-2</v>
      </c>
      <c r="BW31" s="135">
        <f>ROUND((1+VLOOKUP(BU31,IF(VLOOKUP(L31,'Расчет инфляции'!$BD$5:$BF$22,3,0)=2,'Расчет инфляции'!$AL$5:$AM$370,'Расчет инфляции'!$AQ$5:$AR$370),2,0))*(1+IF(VLOOKUP(L31,'Расчет инфляции'!$BD$5:$BF$22,3,0)=2,VLOOKUP(H31,'Расчет инфляции'!$BD$25:$HJ$52,6,0),VLOOKUP(H31,'Расчет инфляции'!$BD$25:$HJ$52,7,0)))*(1+IF(VLOOKUP(L31,'Расчет инфляции'!$BD$5:$BF$22,3,0)=2,VLOOKUP(H31,'Расчет инфляции'!$BD$25:$BF$52,2,0),VLOOKUP(H31,'Расчет инфляции'!$BD$25:$BF$52,3,0)))-1,4)</f>
        <v>0.1052</v>
      </c>
      <c r="BX31" s="132">
        <f t="shared" si="144"/>
        <v>0</v>
      </c>
      <c r="BY31" s="132">
        <f t="shared" si="145"/>
        <v>0</v>
      </c>
      <c r="BZ31" s="215"/>
      <c r="CB31" s="216"/>
      <c r="CC31" s="216"/>
      <c r="CD31" s="216"/>
      <c r="CE31" s="216"/>
      <c r="CF31" s="216"/>
      <c r="CG31" s="216"/>
      <c r="CH31" s="216"/>
      <c r="CI31" s="216"/>
      <c r="CJ31" s="216"/>
      <c r="CK31" s="216"/>
      <c r="CL31" s="216"/>
      <c r="CM31" s="216"/>
      <c r="CN31" s="216"/>
      <c r="CO31" s="216"/>
      <c r="CP31" s="216"/>
      <c r="CQ31" s="216"/>
      <c r="CR31" s="216"/>
      <c r="CS31" s="216"/>
      <c r="CT31" s="216"/>
      <c r="CU31" s="216"/>
      <c r="CV31" s="216"/>
      <c r="CW31" s="216"/>
      <c r="CX31" s="216"/>
      <c r="CY31" s="216"/>
      <c r="CZ31" s="137"/>
      <c r="DA31" s="214"/>
      <c r="DB31" s="214"/>
      <c r="DC31" s="214"/>
      <c r="DD31" s="214">
        <f t="shared" si="146"/>
        <v>0</v>
      </c>
      <c r="DE31" s="138" t="e">
        <f t="shared" si="147"/>
        <v>#DIV/0!</v>
      </c>
      <c r="DF31" s="219" t="e">
        <f t="shared" si="148"/>
        <v>#DIV/0!</v>
      </c>
      <c r="DG31" s="217">
        <v>1</v>
      </c>
      <c r="DH31" s="220">
        <f t="shared" si="238"/>
        <v>100000</v>
      </c>
      <c r="DI31" s="218">
        <v>100000</v>
      </c>
      <c r="DJ31" s="220">
        <f t="shared" si="150"/>
        <v>0</v>
      </c>
      <c r="DK31" s="220" t="b">
        <f t="shared" si="151"/>
        <v>1</v>
      </c>
    </row>
    <row r="32" spans="1:115" s="136" customFormat="1">
      <c r="A32" s="123">
        <f t="shared" si="213"/>
        <v>29</v>
      </c>
      <c r="B32" s="201"/>
      <c r="C32" s="202"/>
      <c r="D32" s="203"/>
      <c r="E32" s="204"/>
      <c r="F32" s="204">
        <v>0.01</v>
      </c>
      <c r="G32" s="205"/>
      <c r="H32" s="141" t="s">
        <v>130</v>
      </c>
      <c r="I32" s="206"/>
      <c r="J32" s="207"/>
      <c r="K32" s="208"/>
      <c r="L32" s="128" t="s">
        <v>134</v>
      </c>
      <c r="M32" s="210"/>
      <c r="N32" s="211"/>
      <c r="O32" s="211"/>
      <c r="P32" s="211"/>
      <c r="Q32" s="211"/>
      <c r="R32" s="211"/>
      <c r="S32" s="129">
        <f>SUM(N32:R32)</f>
        <v>0</v>
      </c>
      <c r="T32" s="211">
        <f t="shared" si="153"/>
        <v>0</v>
      </c>
      <c r="U32" s="211"/>
      <c r="V32" s="211"/>
      <c r="W32" s="211"/>
      <c r="X32" s="129">
        <f t="shared" si="240"/>
        <v>0</v>
      </c>
      <c r="Y32" s="130">
        <f t="shared" si="214"/>
        <v>0</v>
      </c>
      <c r="Z32" s="130">
        <f t="shared" si="215"/>
        <v>0</v>
      </c>
      <c r="AA32" s="213">
        <f t="shared" si="109"/>
        <v>0</v>
      </c>
      <c r="AB32" s="214"/>
      <c r="AC32" s="214"/>
      <c r="AD32" s="214"/>
      <c r="AE32" s="130"/>
      <c r="AF32" s="130"/>
      <c r="AG32" s="130"/>
      <c r="AH32" s="130"/>
      <c r="AI32" s="130"/>
      <c r="AJ32" s="130">
        <f t="shared" si="216"/>
        <v>0</v>
      </c>
      <c r="AK32" s="130">
        <f t="shared" si="217"/>
        <v>0</v>
      </c>
      <c r="AL32" s="130">
        <f t="shared" si="218"/>
        <v>0</v>
      </c>
      <c r="AM32" s="130">
        <f t="shared" si="219"/>
        <v>0</v>
      </c>
      <c r="AN32" s="130">
        <f t="shared" si="220"/>
        <v>0</v>
      </c>
      <c r="AO32" s="130">
        <f t="shared" si="221"/>
        <v>0</v>
      </c>
      <c r="AP32" s="131">
        <f t="shared" si="116"/>
        <v>0</v>
      </c>
      <c r="AQ32" s="131">
        <f t="shared" si="117"/>
        <v>0</v>
      </c>
      <c r="AR32" s="131">
        <f t="shared" si="118"/>
        <v>0</v>
      </c>
      <c r="AS32" s="131">
        <f t="shared" si="119"/>
        <v>0</v>
      </c>
      <c r="AT32" s="130">
        <f t="shared" si="222"/>
        <v>0</v>
      </c>
      <c r="AU32" s="130">
        <f t="shared" si="121"/>
        <v>0</v>
      </c>
      <c r="AV32" s="130">
        <f t="shared" si="122"/>
        <v>0</v>
      </c>
      <c r="AW32" s="130">
        <f t="shared" si="123"/>
        <v>0</v>
      </c>
      <c r="AX32" s="130">
        <f t="shared" si="124"/>
        <v>0</v>
      </c>
      <c r="AY32" s="130">
        <f t="shared" si="223"/>
        <v>0</v>
      </c>
      <c r="AZ32" s="130">
        <f t="shared" si="224"/>
        <v>0</v>
      </c>
      <c r="BA32" s="130">
        <f t="shared" si="225"/>
        <v>0</v>
      </c>
      <c r="BB32" s="130">
        <f t="shared" si="226"/>
        <v>0</v>
      </c>
      <c r="BC32" s="130">
        <f t="shared" si="227"/>
        <v>0</v>
      </c>
      <c r="BD32" s="130">
        <f t="shared" si="228"/>
        <v>0</v>
      </c>
      <c r="BE32" s="130">
        <f t="shared" ref="BE32:BE39" si="241">ROUND($BW32*(AK32-AP32),0)</f>
        <v>0</v>
      </c>
      <c r="BF32" s="130">
        <f t="shared" ref="BF32:BF39" si="242">ROUND($BW32*(AL32-AQ32),0)</f>
        <v>0</v>
      </c>
      <c r="BG32" s="130">
        <f t="shared" ref="BG32:BG39" si="243">ROUND($BW32*(AM32-AR32),0)</f>
        <v>0</v>
      </c>
      <c r="BH32" s="130">
        <f t="shared" ref="BH32:BH39" si="244">ROUND($BW32*(AN32-AS32),0)</f>
        <v>0</v>
      </c>
      <c r="BI32" s="130">
        <f t="shared" si="229"/>
        <v>0</v>
      </c>
      <c r="BJ32" s="130">
        <f t="shared" si="230"/>
        <v>0</v>
      </c>
      <c r="BK32" s="130">
        <f t="shared" si="231"/>
        <v>0</v>
      </c>
      <c r="BL32" s="130">
        <f t="shared" si="232"/>
        <v>0</v>
      </c>
      <c r="BM32" s="130">
        <f t="shared" si="233"/>
        <v>0</v>
      </c>
      <c r="BN32" s="130">
        <f t="shared" si="234"/>
        <v>0</v>
      </c>
      <c r="BO32" s="132">
        <f t="shared" si="235"/>
        <v>0</v>
      </c>
      <c r="BP32" s="215">
        <v>1</v>
      </c>
      <c r="BQ32" s="215">
        <v>12</v>
      </c>
      <c r="BR32" s="215">
        <v>1</v>
      </c>
      <c r="BS32" s="215">
        <v>12</v>
      </c>
      <c r="BT32" s="133">
        <f t="shared" si="236"/>
        <v>41821</v>
      </c>
      <c r="BU32" s="133">
        <f t="shared" si="237"/>
        <v>42186</v>
      </c>
      <c r="BV32" s="134">
        <f>ROUND((1+VLOOKUP(BT32,IF(VLOOKUP(L32,'Расчет инфляции'!$BD$5:$BF$22,3,0)=2,'Расчет инфляции'!$AJ$5:$AK$370,'Расчет инфляции'!$AO$5:$AP$370),2,0))*(1+IF(VLOOKUP(L32,'Расчет инфляции'!$BD$5:$BF$22,3,0)=2,VLOOKUP(H32,'Расчет инфляции'!$BD$25:$BF$52,2,0),VLOOKUP(H32,'Расчет инфляции'!$BD$25:$BF$52,3,0)))-1,4)-IF(VLOOKUP(L32,'Расчет инфляции'!$BD$5:$BF$22,3,0)=2,VLOOKUP(H32,'Расчет инфляции'!$BD$25:$BH$52,4,0),VLOOKUP(H32,'Расчет инфляции'!$BD$25:$BH$52,5,0))</f>
        <v>5.16E-2</v>
      </c>
      <c r="BW32" s="135">
        <f>ROUND((1+VLOOKUP(BU32,IF(VLOOKUP(L32,'Расчет инфляции'!$BD$5:$BF$22,3,0)=2,'Расчет инфляции'!$AL$5:$AM$370,'Расчет инфляции'!$AQ$5:$AR$370),2,0))*(1+IF(VLOOKUP(L32,'Расчет инфляции'!$BD$5:$BF$22,3,0)=2,VLOOKUP(H32,'Расчет инфляции'!$BD$25:$HJ$52,6,0),VLOOKUP(H32,'Расчет инфляции'!$BD$25:$HJ$52,7,0)))*(1+IF(VLOOKUP(L32,'Расчет инфляции'!$BD$5:$BF$22,3,0)=2,VLOOKUP(H32,'Расчет инфляции'!$BD$25:$BF$52,2,0),VLOOKUP(H32,'Расчет инфляции'!$BD$25:$BF$52,3,0)))-1,4)</f>
        <v>0.1052</v>
      </c>
      <c r="BX32" s="132">
        <f t="shared" ref="BX32:BX39" si="245">AT32+AY32+BD32</f>
        <v>0</v>
      </c>
      <c r="BY32" s="132">
        <f t="shared" ref="BY32:BY39" si="246">AO32-AT32+BI32+BN32</f>
        <v>0</v>
      </c>
      <c r="BZ32" s="215"/>
      <c r="CB32" s="216"/>
      <c r="CC32" s="216"/>
      <c r="CD32" s="216"/>
      <c r="CE32" s="216"/>
      <c r="CF32" s="216"/>
      <c r="CG32" s="216"/>
      <c r="CH32" s="216"/>
      <c r="CI32" s="216"/>
      <c r="CJ32" s="216"/>
      <c r="CK32" s="216"/>
      <c r="CL32" s="216"/>
      <c r="CM32" s="216"/>
      <c r="CN32" s="216"/>
      <c r="CO32" s="216"/>
      <c r="CP32" s="216"/>
      <c r="CQ32" s="216"/>
      <c r="CR32" s="216"/>
      <c r="CS32" s="216"/>
      <c r="CT32" s="216"/>
      <c r="CU32" s="216"/>
      <c r="CV32" s="216"/>
      <c r="CW32" s="216"/>
      <c r="CX32" s="216"/>
      <c r="CY32" s="216"/>
      <c r="CZ32" s="137"/>
      <c r="DA32" s="214"/>
      <c r="DB32" s="214"/>
      <c r="DC32" s="214"/>
      <c r="DD32" s="214">
        <f t="shared" si="146"/>
        <v>0</v>
      </c>
      <c r="DE32" s="138" t="e">
        <f t="shared" si="147"/>
        <v>#DIV/0!</v>
      </c>
      <c r="DF32" s="219" t="e">
        <f t="shared" si="148"/>
        <v>#DIV/0!</v>
      </c>
      <c r="DG32" s="217">
        <v>1</v>
      </c>
      <c r="DH32" s="220">
        <f t="shared" si="238"/>
        <v>100000</v>
      </c>
      <c r="DI32" s="218">
        <v>100000</v>
      </c>
      <c r="DJ32" s="220">
        <f t="shared" si="150"/>
        <v>0</v>
      </c>
      <c r="DK32" s="220" t="b">
        <f t="shared" si="151"/>
        <v>1</v>
      </c>
    </row>
    <row r="33" spans="1:115" s="136" customFormat="1">
      <c r="A33" s="123">
        <f t="shared" si="213"/>
        <v>30</v>
      </c>
      <c r="B33" s="201"/>
      <c r="C33" s="202"/>
      <c r="D33" s="203"/>
      <c r="E33" s="204"/>
      <c r="F33" s="204">
        <v>0.01</v>
      </c>
      <c r="G33" s="205"/>
      <c r="H33" s="141" t="s">
        <v>130</v>
      </c>
      <c r="I33" s="206"/>
      <c r="J33" s="207"/>
      <c r="K33" s="208"/>
      <c r="L33" s="128" t="s">
        <v>134</v>
      </c>
      <c r="M33" s="210"/>
      <c r="N33" s="211"/>
      <c r="O33" s="211"/>
      <c r="P33" s="211"/>
      <c r="Q33" s="211"/>
      <c r="R33" s="211"/>
      <c r="S33" s="129">
        <f t="shared" si="239"/>
        <v>0</v>
      </c>
      <c r="T33" s="211">
        <f t="shared" si="153"/>
        <v>0</v>
      </c>
      <c r="U33" s="211"/>
      <c r="V33" s="211"/>
      <c r="W33" s="211"/>
      <c r="X33" s="129">
        <f t="shared" si="240"/>
        <v>0</v>
      </c>
      <c r="Y33" s="130">
        <f t="shared" ref="Y33:Y37" si="247">ROUND($E33*T33,0)</f>
        <v>0</v>
      </c>
      <c r="Z33" s="130">
        <f t="shared" ref="Z33:Z37" si="248">ROUND($E33*U33,0)</f>
        <v>0</v>
      </c>
      <c r="AA33" s="213">
        <f t="shared" si="109"/>
        <v>0</v>
      </c>
      <c r="AB33" s="214"/>
      <c r="AC33" s="214"/>
      <c r="AD33" s="214"/>
      <c r="AE33" s="130"/>
      <c r="AF33" s="130"/>
      <c r="AG33" s="130"/>
      <c r="AH33" s="130"/>
      <c r="AI33" s="130"/>
      <c r="AJ33" s="130">
        <f t="shared" ref="AJ33:AJ37" si="249">ROUND(SUM(AF33:AI33),0)</f>
        <v>0</v>
      </c>
      <c r="AK33" s="130">
        <f t="shared" ref="AK33:AK37" si="250">T33+Y33+AB33+AF33</f>
        <v>0</v>
      </c>
      <c r="AL33" s="130">
        <f t="shared" ref="AL33:AL37" si="251">U33+Z33+AC33+AG33</f>
        <v>0</v>
      </c>
      <c r="AM33" s="130">
        <f t="shared" ref="AM33:AM37" si="252">V33+AH33</f>
        <v>0</v>
      </c>
      <c r="AN33" s="130">
        <f t="shared" ref="AN33:AN37" si="253">W33+AA33+AD33+AE33+AI33</f>
        <v>0</v>
      </c>
      <c r="AO33" s="130">
        <f t="shared" ref="AO33:AO37" si="254">SUM(AK33:AN33)</f>
        <v>0</v>
      </c>
      <c r="AP33" s="131">
        <f t="shared" si="116"/>
        <v>0</v>
      </c>
      <c r="AQ33" s="131">
        <f t="shared" si="117"/>
        <v>0</v>
      </c>
      <c r="AR33" s="131">
        <f t="shared" si="118"/>
        <v>0</v>
      </c>
      <c r="AS33" s="131">
        <f t="shared" si="119"/>
        <v>0</v>
      </c>
      <c r="AT33" s="130">
        <f t="shared" ref="AT33:AT37" si="255">SUM(AP33:AS33)</f>
        <v>0</v>
      </c>
      <c r="AU33" s="130">
        <f t="shared" si="121"/>
        <v>0</v>
      </c>
      <c r="AV33" s="130">
        <f t="shared" si="122"/>
        <v>0</v>
      </c>
      <c r="AW33" s="130">
        <f t="shared" si="123"/>
        <v>0</v>
      </c>
      <c r="AX33" s="130">
        <f t="shared" si="124"/>
        <v>0</v>
      </c>
      <c r="AY33" s="130">
        <f t="shared" ref="AY33:AY37" si="256">SUM(AU33:AX33)</f>
        <v>0</v>
      </c>
      <c r="AZ33" s="130">
        <f t="shared" ref="AZ33:AZ37" si="257">ROUND(18%*SUM(AP33,AU33),0)</f>
        <v>0</v>
      </c>
      <c r="BA33" s="130">
        <f t="shared" ref="BA33:BA37" si="258">ROUND(18%*SUM(AQ33,AV33),0)</f>
        <v>0</v>
      </c>
      <c r="BB33" s="130">
        <f t="shared" ref="BB33:BB37" si="259">ROUND(18%*SUM(AR33,AW33),0)</f>
        <v>0</v>
      </c>
      <c r="BC33" s="130">
        <f t="shared" ref="BC33:BC37" si="260">ROUND(18%*SUM(AS33,AX33),0)</f>
        <v>0</v>
      </c>
      <c r="BD33" s="130">
        <f t="shared" ref="BD33:BD37" si="261">SUM(AZ33:BC33)</f>
        <v>0</v>
      </c>
      <c r="BE33" s="130">
        <f t="shared" si="241"/>
        <v>0</v>
      </c>
      <c r="BF33" s="130">
        <f t="shared" si="242"/>
        <v>0</v>
      </c>
      <c r="BG33" s="130">
        <f t="shared" si="243"/>
        <v>0</v>
      </c>
      <c r="BH33" s="130">
        <f t="shared" si="244"/>
        <v>0</v>
      </c>
      <c r="BI33" s="130">
        <f t="shared" ref="BI33:BI37" si="262">SUM(BE33:BH33)</f>
        <v>0</v>
      </c>
      <c r="BJ33" s="130">
        <f t="shared" ref="BJ33:BJ37" si="263">ROUND(18%*(AK33-AP33+BE33),0)</f>
        <v>0</v>
      </c>
      <c r="BK33" s="130">
        <f t="shared" ref="BK33:BK37" si="264">ROUND(18%*(AL33-AQ33+BF33),0)</f>
        <v>0</v>
      </c>
      <c r="BL33" s="130">
        <f t="shared" ref="BL33:BL37" si="265">ROUND(18%*(AM33-AR33+BG33),0)</f>
        <v>0</v>
      </c>
      <c r="BM33" s="130">
        <f t="shared" ref="BM33:BM37" si="266">ROUND(18%*(AN33-AS33+BH33),0)</f>
        <v>0</v>
      </c>
      <c r="BN33" s="130">
        <f t="shared" ref="BN33:BN37" si="267">SUM(BJ33:BM33)</f>
        <v>0</v>
      </c>
      <c r="BO33" s="132">
        <f t="shared" ref="BO33:BO37" si="268">SUM(AO33,AY33,BD33,BI33,BN33)</f>
        <v>0</v>
      </c>
      <c r="BP33" s="215">
        <v>1</v>
      </c>
      <c r="BQ33" s="215">
        <v>12</v>
      </c>
      <c r="BR33" s="215">
        <v>1</v>
      </c>
      <c r="BS33" s="215">
        <v>12</v>
      </c>
      <c r="BT33" s="133">
        <f t="shared" ref="BT33:BT37" si="269">ROUND((CONCATENATE("15.",BQ33,".2014")-CONCATENATE("15.",BP33,".2014"))/2,0)+CONCATENATE("15.",BP33,".2014")</f>
        <v>41821</v>
      </c>
      <c r="BU33" s="133">
        <f t="shared" ref="BU33:BU37" si="270">ROUND((CONCATENATE("15.",BS33,".2015")-CONCATENATE("15.",BR33,".2015"))/2,0)+CONCATENATE("15.",BR33,".2015")</f>
        <v>42186</v>
      </c>
      <c r="BV33" s="134">
        <f>ROUND((1+VLOOKUP(BT33,IF(VLOOKUP(L33,'Расчет инфляции'!$BD$5:$BF$22,3,0)=2,'Расчет инфляции'!$AJ$5:$AK$370,'Расчет инфляции'!$AO$5:$AP$370),2,0))*(1+IF(VLOOKUP(L33,'Расчет инфляции'!$BD$5:$BF$22,3,0)=2,VLOOKUP(H33,'Расчет инфляции'!$BD$25:$BF$52,2,0),VLOOKUP(H33,'Расчет инфляции'!$BD$25:$BF$52,3,0)))-1,4)-IF(VLOOKUP(L33,'Расчет инфляции'!$BD$5:$BF$22,3,0)=2,VLOOKUP(H33,'Расчет инфляции'!$BD$25:$BH$52,4,0),VLOOKUP(H33,'Расчет инфляции'!$BD$25:$BH$52,5,0))</f>
        <v>5.16E-2</v>
      </c>
      <c r="BW33" s="135">
        <f>ROUND((1+VLOOKUP(BU33,IF(VLOOKUP(L33,'Расчет инфляции'!$BD$5:$BF$22,3,0)=2,'Расчет инфляции'!$AL$5:$AM$370,'Расчет инфляции'!$AQ$5:$AR$370),2,0))*(1+IF(VLOOKUP(L33,'Расчет инфляции'!$BD$5:$BF$22,3,0)=2,VLOOKUP(H33,'Расчет инфляции'!$BD$25:$HJ$52,6,0),VLOOKUP(H33,'Расчет инфляции'!$BD$25:$HJ$52,7,0)))*(1+IF(VLOOKUP(L33,'Расчет инфляции'!$BD$5:$BF$22,3,0)=2,VLOOKUP(H33,'Расчет инфляции'!$BD$25:$BF$52,2,0),VLOOKUP(H33,'Расчет инфляции'!$BD$25:$BF$52,3,0)))-1,4)</f>
        <v>0.1052</v>
      </c>
      <c r="BX33" s="132">
        <f t="shared" si="245"/>
        <v>0</v>
      </c>
      <c r="BY33" s="132">
        <f t="shared" si="246"/>
        <v>0</v>
      </c>
      <c r="BZ33" s="215"/>
      <c r="CB33" s="216"/>
      <c r="CC33" s="216"/>
      <c r="CD33" s="216"/>
      <c r="CE33" s="216"/>
      <c r="CF33" s="216"/>
      <c r="CG33" s="216"/>
      <c r="CH33" s="216"/>
      <c r="CI33" s="216"/>
      <c r="CJ33" s="216"/>
      <c r="CK33" s="216"/>
      <c r="CL33" s="216"/>
      <c r="CM33" s="216"/>
      <c r="CN33" s="216"/>
      <c r="CO33" s="216"/>
      <c r="CP33" s="216"/>
      <c r="CQ33" s="216"/>
      <c r="CR33" s="216"/>
      <c r="CS33" s="216"/>
      <c r="CT33" s="216"/>
      <c r="CU33" s="216"/>
      <c r="CV33" s="216"/>
      <c r="CW33" s="216"/>
      <c r="CX33" s="216"/>
      <c r="CY33" s="216"/>
      <c r="CZ33" s="137"/>
      <c r="DA33" s="214"/>
      <c r="DB33" s="214"/>
      <c r="DC33" s="214"/>
      <c r="DD33" s="214">
        <f t="shared" si="146"/>
        <v>0</v>
      </c>
      <c r="DE33" s="138" t="e">
        <f t="shared" si="147"/>
        <v>#DIV/0!</v>
      </c>
      <c r="DF33" s="219" t="e">
        <f t="shared" si="148"/>
        <v>#DIV/0!</v>
      </c>
      <c r="DG33" s="217">
        <v>1</v>
      </c>
      <c r="DH33" s="220">
        <f t="shared" ref="DH33:DH37" si="271">DG33*DI33</f>
        <v>100000</v>
      </c>
      <c r="DI33" s="218">
        <v>100000</v>
      </c>
      <c r="DJ33" s="220">
        <f t="shared" si="150"/>
        <v>0</v>
      </c>
      <c r="DK33" s="220" t="b">
        <f t="shared" si="151"/>
        <v>1</v>
      </c>
    </row>
    <row r="34" spans="1:115" s="136" customFormat="1">
      <c r="A34" s="123">
        <f t="shared" si="213"/>
        <v>31</v>
      </c>
      <c r="B34" s="201"/>
      <c r="C34" s="202"/>
      <c r="D34" s="203"/>
      <c r="E34" s="204"/>
      <c r="F34" s="204">
        <v>0.01</v>
      </c>
      <c r="G34" s="205"/>
      <c r="H34" s="141" t="s">
        <v>130</v>
      </c>
      <c r="I34" s="206"/>
      <c r="J34" s="207"/>
      <c r="K34" s="208"/>
      <c r="L34" s="128" t="s">
        <v>134</v>
      </c>
      <c r="M34" s="210"/>
      <c r="N34" s="211"/>
      <c r="O34" s="211"/>
      <c r="P34" s="211"/>
      <c r="Q34" s="211"/>
      <c r="R34" s="211"/>
      <c r="S34" s="129">
        <f t="shared" si="239"/>
        <v>0</v>
      </c>
      <c r="T34" s="211">
        <f t="shared" si="153"/>
        <v>0</v>
      </c>
      <c r="U34" s="211"/>
      <c r="V34" s="211"/>
      <c r="W34" s="211"/>
      <c r="X34" s="129">
        <f t="shared" si="240"/>
        <v>0</v>
      </c>
      <c r="Y34" s="130">
        <f t="shared" si="247"/>
        <v>0</v>
      </c>
      <c r="Z34" s="130">
        <f t="shared" si="248"/>
        <v>0</v>
      </c>
      <c r="AA34" s="213">
        <f t="shared" si="109"/>
        <v>0</v>
      </c>
      <c r="AB34" s="214"/>
      <c r="AC34" s="214"/>
      <c r="AD34" s="214"/>
      <c r="AE34" s="130"/>
      <c r="AF34" s="130"/>
      <c r="AG34" s="130"/>
      <c r="AH34" s="130"/>
      <c r="AI34" s="130"/>
      <c r="AJ34" s="130">
        <f t="shared" si="249"/>
        <v>0</v>
      </c>
      <c r="AK34" s="130">
        <f t="shared" si="250"/>
        <v>0</v>
      </c>
      <c r="AL34" s="130">
        <f t="shared" si="251"/>
        <v>0</v>
      </c>
      <c r="AM34" s="130">
        <f t="shared" si="252"/>
        <v>0</v>
      </c>
      <c r="AN34" s="130">
        <f t="shared" si="253"/>
        <v>0</v>
      </c>
      <c r="AO34" s="130">
        <f t="shared" si="254"/>
        <v>0</v>
      </c>
      <c r="AP34" s="131">
        <f t="shared" si="116"/>
        <v>0</v>
      </c>
      <c r="AQ34" s="131">
        <f t="shared" si="117"/>
        <v>0</v>
      </c>
      <c r="AR34" s="131">
        <f t="shared" si="118"/>
        <v>0</v>
      </c>
      <c r="AS34" s="131">
        <f t="shared" si="119"/>
        <v>0</v>
      </c>
      <c r="AT34" s="130">
        <f t="shared" si="255"/>
        <v>0</v>
      </c>
      <c r="AU34" s="130">
        <f t="shared" ref="AU34:AU40" si="272">ROUND($BV34*AP34,0)</f>
        <v>0</v>
      </c>
      <c r="AV34" s="130">
        <f t="shared" ref="AV34:AV40" si="273">ROUND($BV34*AQ34,0)</f>
        <v>0</v>
      </c>
      <c r="AW34" s="130">
        <f t="shared" ref="AW34:AW40" si="274">ROUND($BV34*AR34,0)</f>
        <v>0</v>
      </c>
      <c r="AX34" s="130">
        <f t="shared" ref="AX34:AX40" si="275">ROUND($BV34*AS34,0)</f>
        <v>0</v>
      </c>
      <c r="AY34" s="130">
        <f t="shared" si="256"/>
        <v>0</v>
      </c>
      <c r="AZ34" s="130">
        <f t="shared" si="257"/>
        <v>0</v>
      </c>
      <c r="BA34" s="130">
        <f t="shared" si="258"/>
        <v>0</v>
      </c>
      <c r="BB34" s="130">
        <f t="shared" si="259"/>
        <v>0</v>
      </c>
      <c r="BC34" s="130">
        <f t="shared" si="260"/>
        <v>0</v>
      </c>
      <c r="BD34" s="130">
        <f t="shared" si="261"/>
        <v>0</v>
      </c>
      <c r="BE34" s="130">
        <f t="shared" si="241"/>
        <v>0</v>
      </c>
      <c r="BF34" s="130">
        <f t="shared" si="242"/>
        <v>0</v>
      </c>
      <c r="BG34" s="130">
        <f t="shared" si="243"/>
        <v>0</v>
      </c>
      <c r="BH34" s="130">
        <f t="shared" si="244"/>
        <v>0</v>
      </c>
      <c r="BI34" s="130">
        <f t="shared" si="262"/>
        <v>0</v>
      </c>
      <c r="BJ34" s="130">
        <f t="shared" si="263"/>
        <v>0</v>
      </c>
      <c r="BK34" s="130">
        <f t="shared" si="264"/>
        <v>0</v>
      </c>
      <c r="BL34" s="130">
        <f t="shared" si="265"/>
        <v>0</v>
      </c>
      <c r="BM34" s="130">
        <f t="shared" si="266"/>
        <v>0</v>
      </c>
      <c r="BN34" s="130">
        <f t="shared" si="267"/>
        <v>0</v>
      </c>
      <c r="BO34" s="132">
        <f t="shared" si="268"/>
        <v>0</v>
      </c>
      <c r="BP34" s="215">
        <v>1</v>
      </c>
      <c r="BQ34" s="215">
        <v>12</v>
      </c>
      <c r="BR34" s="215">
        <v>1</v>
      </c>
      <c r="BS34" s="215">
        <v>12</v>
      </c>
      <c r="BT34" s="133">
        <f t="shared" si="269"/>
        <v>41821</v>
      </c>
      <c r="BU34" s="133">
        <f t="shared" si="270"/>
        <v>42186</v>
      </c>
      <c r="BV34" s="134">
        <f>ROUND((1+VLOOKUP(BT34,IF(VLOOKUP(L34,'Расчет инфляции'!$BD$5:$BF$22,3,0)=2,'Расчет инфляции'!$AJ$5:$AK$370,'Расчет инфляции'!$AO$5:$AP$370),2,0))*(1+IF(VLOOKUP(L34,'Расчет инфляции'!$BD$5:$BF$22,3,0)=2,VLOOKUP(H34,'Расчет инфляции'!$BD$25:$BF$52,2,0),VLOOKUP(H34,'Расчет инфляции'!$BD$25:$BF$52,3,0)))-1,4)-IF(VLOOKUP(L34,'Расчет инфляции'!$BD$5:$BF$22,3,0)=2,VLOOKUP(H34,'Расчет инфляции'!$BD$25:$BH$52,4,0),VLOOKUP(H34,'Расчет инфляции'!$BD$25:$BH$52,5,0))</f>
        <v>5.16E-2</v>
      </c>
      <c r="BW34" s="135">
        <f>ROUND((1+VLOOKUP(BU34,IF(VLOOKUP(L34,'Расчет инфляции'!$BD$5:$BF$22,3,0)=2,'Расчет инфляции'!$AL$5:$AM$370,'Расчет инфляции'!$AQ$5:$AR$370),2,0))*(1+IF(VLOOKUP(L34,'Расчет инфляции'!$BD$5:$BF$22,3,0)=2,VLOOKUP(H34,'Расчет инфляции'!$BD$25:$HJ$52,6,0),VLOOKUP(H34,'Расчет инфляции'!$BD$25:$HJ$52,7,0)))*(1+IF(VLOOKUP(L34,'Расчет инфляции'!$BD$5:$BF$22,3,0)=2,VLOOKUP(H34,'Расчет инфляции'!$BD$25:$BF$52,2,0),VLOOKUP(H34,'Расчет инфляции'!$BD$25:$BF$52,3,0)))-1,4)</f>
        <v>0.1052</v>
      </c>
      <c r="BX34" s="132">
        <f t="shared" si="245"/>
        <v>0</v>
      </c>
      <c r="BY34" s="132">
        <f t="shared" si="246"/>
        <v>0</v>
      </c>
      <c r="BZ34" s="215"/>
      <c r="CB34" s="216"/>
      <c r="CC34" s="216"/>
      <c r="CD34" s="216"/>
      <c r="CE34" s="216"/>
      <c r="CF34" s="216"/>
      <c r="CG34" s="216"/>
      <c r="CH34" s="216"/>
      <c r="CI34" s="216"/>
      <c r="CJ34" s="216"/>
      <c r="CK34" s="216"/>
      <c r="CL34" s="216"/>
      <c r="CM34" s="216"/>
      <c r="CN34" s="216"/>
      <c r="CO34" s="216"/>
      <c r="CP34" s="216"/>
      <c r="CQ34" s="216"/>
      <c r="CR34" s="216"/>
      <c r="CS34" s="216"/>
      <c r="CT34" s="216"/>
      <c r="CU34" s="216"/>
      <c r="CV34" s="216"/>
      <c r="CW34" s="216"/>
      <c r="CX34" s="216"/>
      <c r="CY34" s="216"/>
      <c r="CZ34" s="137"/>
      <c r="DA34" s="214"/>
      <c r="DB34" s="214"/>
      <c r="DC34" s="214"/>
      <c r="DD34" s="214">
        <f t="shared" si="146"/>
        <v>0</v>
      </c>
      <c r="DE34" s="138" t="e">
        <f t="shared" si="147"/>
        <v>#DIV/0!</v>
      </c>
      <c r="DF34" s="219" t="e">
        <f t="shared" si="148"/>
        <v>#DIV/0!</v>
      </c>
      <c r="DG34" s="217">
        <v>1</v>
      </c>
      <c r="DH34" s="220">
        <f t="shared" si="271"/>
        <v>100000</v>
      </c>
      <c r="DI34" s="218">
        <v>100000</v>
      </c>
      <c r="DJ34" s="220">
        <f t="shared" si="150"/>
        <v>0</v>
      </c>
      <c r="DK34" s="220" t="b">
        <f t="shared" si="151"/>
        <v>1</v>
      </c>
    </row>
    <row r="35" spans="1:115" s="136" customFormat="1">
      <c r="A35" s="123">
        <f t="shared" si="213"/>
        <v>32</v>
      </c>
      <c r="B35" s="201"/>
      <c r="C35" s="202"/>
      <c r="D35" s="203"/>
      <c r="E35" s="204"/>
      <c r="F35" s="204">
        <v>0.01</v>
      </c>
      <c r="G35" s="205"/>
      <c r="H35" s="141" t="s">
        <v>130</v>
      </c>
      <c r="I35" s="206"/>
      <c r="J35" s="207"/>
      <c r="K35" s="208"/>
      <c r="L35" s="128" t="s">
        <v>134</v>
      </c>
      <c r="M35" s="210"/>
      <c r="N35" s="211"/>
      <c r="O35" s="211"/>
      <c r="P35" s="211"/>
      <c r="Q35" s="211"/>
      <c r="R35" s="211"/>
      <c r="S35" s="129">
        <f>SUM(N35:R35)</f>
        <v>0</v>
      </c>
      <c r="T35" s="211">
        <f t="shared" si="153"/>
        <v>0</v>
      </c>
      <c r="U35" s="211"/>
      <c r="V35" s="211"/>
      <c r="W35" s="211"/>
      <c r="X35" s="129">
        <f t="shared" ref="X35:X37" si="276">SUM(T35:W35)</f>
        <v>0</v>
      </c>
      <c r="Y35" s="130">
        <f t="shared" si="247"/>
        <v>0</v>
      </c>
      <c r="Z35" s="130">
        <f t="shared" si="248"/>
        <v>0</v>
      </c>
      <c r="AA35" s="213">
        <f t="shared" si="109"/>
        <v>0</v>
      </c>
      <c r="AB35" s="214"/>
      <c r="AC35" s="214"/>
      <c r="AD35" s="214"/>
      <c r="AE35" s="130"/>
      <c r="AF35" s="130"/>
      <c r="AG35" s="130"/>
      <c r="AH35" s="130"/>
      <c r="AI35" s="130"/>
      <c r="AJ35" s="130">
        <f t="shared" si="249"/>
        <v>0</v>
      </c>
      <c r="AK35" s="130">
        <f t="shared" si="250"/>
        <v>0</v>
      </c>
      <c r="AL35" s="130">
        <f t="shared" si="251"/>
        <v>0</v>
      </c>
      <c r="AM35" s="130">
        <f t="shared" si="252"/>
        <v>0</v>
      </c>
      <c r="AN35" s="130">
        <f t="shared" si="253"/>
        <v>0</v>
      </c>
      <c r="AO35" s="130">
        <f t="shared" si="254"/>
        <v>0</v>
      </c>
      <c r="AP35" s="131">
        <f t="shared" si="116"/>
        <v>0</v>
      </c>
      <c r="AQ35" s="131">
        <f t="shared" si="117"/>
        <v>0</v>
      </c>
      <c r="AR35" s="131">
        <f t="shared" si="118"/>
        <v>0</v>
      </c>
      <c r="AS35" s="131">
        <f t="shared" si="119"/>
        <v>0</v>
      </c>
      <c r="AT35" s="130">
        <f t="shared" si="255"/>
        <v>0</v>
      </c>
      <c r="AU35" s="130">
        <f t="shared" si="272"/>
        <v>0</v>
      </c>
      <c r="AV35" s="130">
        <f t="shared" si="273"/>
        <v>0</v>
      </c>
      <c r="AW35" s="130">
        <f t="shared" si="274"/>
        <v>0</v>
      </c>
      <c r="AX35" s="130">
        <f t="shared" si="275"/>
        <v>0</v>
      </c>
      <c r="AY35" s="130">
        <f t="shared" si="256"/>
        <v>0</v>
      </c>
      <c r="AZ35" s="130">
        <f t="shared" si="257"/>
        <v>0</v>
      </c>
      <c r="BA35" s="130">
        <f t="shared" si="258"/>
        <v>0</v>
      </c>
      <c r="BB35" s="130">
        <f t="shared" si="259"/>
        <v>0</v>
      </c>
      <c r="BC35" s="130">
        <f t="shared" si="260"/>
        <v>0</v>
      </c>
      <c r="BD35" s="130">
        <f t="shared" si="261"/>
        <v>0</v>
      </c>
      <c r="BE35" s="130">
        <f>ROUND($BW35*(AK35-AP35),0)</f>
        <v>0</v>
      </c>
      <c r="BF35" s="130">
        <f t="shared" si="242"/>
        <v>0</v>
      </c>
      <c r="BG35" s="130">
        <f t="shared" si="243"/>
        <v>0</v>
      </c>
      <c r="BH35" s="130">
        <f t="shared" si="244"/>
        <v>0</v>
      </c>
      <c r="BI35" s="130">
        <f t="shared" si="262"/>
        <v>0</v>
      </c>
      <c r="BJ35" s="130">
        <f t="shared" si="263"/>
        <v>0</v>
      </c>
      <c r="BK35" s="130">
        <f t="shared" si="264"/>
        <v>0</v>
      </c>
      <c r="BL35" s="130">
        <f t="shared" si="265"/>
        <v>0</v>
      </c>
      <c r="BM35" s="130">
        <f t="shared" si="266"/>
        <v>0</v>
      </c>
      <c r="BN35" s="130">
        <f t="shared" si="267"/>
        <v>0</v>
      </c>
      <c r="BO35" s="132">
        <f t="shared" si="268"/>
        <v>0</v>
      </c>
      <c r="BP35" s="215">
        <v>1</v>
      </c>
      <c r="BQ35" s="215">
        <v>12</v>
      </c>
      <c r="BR35" s="215">
        <v>1</v>
      </c>
      <c r="BS35" s="215">
        <v>12</v>
      </c>
      <c r="BT35" s="133">
        <f t="shared" si="269"/>
        <v>41821</v>
      </c>
      <c r="BU35" s="133">
        <f t="shared" si="270"/>
        <v>42186</v>
      </c>
      <c r="BV35" s="134">
        <f>ROUND((1+VLOOKUP(BT35,IF(VLOOKUP(L35,'Расчет инфляции'!$BD$5:$BF$22,3,0)=2,'Расчет инфляции'!$AJ$5:$AK$370,'Расчет инфляции'!$AO$5:$AP$370),2,0))*(1+IF(VLOOKUP(L35,'Расчет инфляции'!$BD$5:$BF$22,3,0)=2,VLOOKUP(H35,'Расчет инфляции'!$BD$25:$BF$52,2,0),VLOOKUP(H35,'Расчет инфляции'!$BD$25:$BF$52,3,0)))-1,4)-IF(VLOOKUP(L35,'Расчет инфляции'!$BD$5:$BF$22,3,0)=2,VLOOKUP(H35,'Расчет инфляции'!$BD$25:$BH$52,4,0),VLOOKUP(H35,'Расчет инфляции'!$BD$25:$BH$52,5,0))</f>
        <v>5.16E-2</v>
      </c>
      <c r="BW35" s="135">
        <f>ROUND((1+VLOOKUP(BU35,IF(VLOOKUP(L35,'Расчет инфляции'!$BD$5:$BF$22,3,0)=2,'Расчет инфляции'!$AL$5:$AM$370,'Расчет инфляции'!$AQ$5:$AR$370),2,0))*(1+IF(VLOOKUP(L35,'Расчет инфляции'!$BD$5:$BF$22,3,0)=2,VLOOKUP(H35,'Расчет инфляции'!$BD$25:$HJ$52,6,0),VLOOKUP(H35,'Расчет инфляции'!$BD$25:$HJ$52,7,0)))*(1+IF(VLOOKUP(L35,'Расчет инфляции'!$BD$5:$BF$22,3,0)=2,VLOOKUP(H35,'Расчет инфляции'!$BD$25:$BF$52,2,0),VLOOKUP(H35,'Расчет инфляции'!$BD$25:$BF$52,3,0)))-1,4)</f>
        <v>0.1052</v>
      </c>
      <c r="BX35" s="132">
        <f t="shared" si="245"/>
        <v>0</v>
      </c>
      <c r="BY35" s="132">
        <f t="shared" si="246"/>
        <v>0</v>
      </c>
      <c r="BZ35" s="215"/>
      <c r="CB35" s="216"/>
      <c r="CC35" s="216"/>
      <c r="CD35" s="216"/>
      <c r="CE35" s="216"/>
      <c r="CF35" s="216"/>
      <c r="CG35" s="216"/>
      <c r="CH35" s="216"/>
      <c r="CI35" s="216"/>
      <c r="CJ35" s="216"/>
      <c r="CK35" s="216"/>
      <c r="CL35" s="216"/>
      <c r="CM35" s="216"/>
      <c r="CN35" s="216"/>
      <c r="CO35" s="216"/>
      <c r="CP35" s="216"/>
      <c r="CQ35" s="216"/>
      <c r="CR35" s="216"/>
      <c r="CS35" s="216"/>
      <c r="CT35" s="216"/>
      <c r="CU35" s="216"/>
      <c r="CV35" s="216"/>
      <c r="CW35" s="216"/>
      <c r="CX35" s="216"/>
      <c r="CY35" s="216"/>
      <c r="CZ35" s="137"/>
      <c r="DA35" s="214"/>
      <c r="DB35" s="214"/>
      <c r="DC35" s="214"/>
      <c r="DD35" s="214">
        <f t="shared" si="146"/>
        <v>0</v>
      </c>
      <c r="DE35" s="138" t="e">
        <f t="shared" si="147"/>
        <v>#DIV/0!</v>
      </c>
      <c r="DF35" s="219" t="e">
        <f t="shared" si="148"/>
        <v>#DIV/0!</v>
      </c>
      <c r="DG35" s="217">
        <v>1</v>
      </c>
      <c r="DH35" s="220">
        <f t="shared" si="271"/>
        <v>100000</v>
      </c>
      <c r="DI35" s="218">
        <v>100000</v>
      </c>
      <c r="DJ35" s="220">
        <f t="shared" si="150"/>
        <v>0</v>
      </c>
      <c r="DK35" s="220" t="b">
        <f t="shared" si="151"/>
        <v>1</v>
      </c>
    </row>
    <row r="36" spans="1:115" s="136" customFormat="1">
      <c r="A36" s="123">
        <f t="shared" si="213"/>
        <v>33</v>
      </c>
      <c r="B36" s="201"/>
      <c r="C36" s="202"/>
      <c r="D36" s="203"/>
      <c r="E36" s="204"/>
      <c r="F36" s="204">
        <v>0.01</v>
      </c>
      <c r="G36" s="205"/>
      <c r="H36" s="141" t="s">
        <v>130</v>
      </c>
      <c r="I36" s="206"/>
      <c r="J36" s="207"/>
      <c r="K36" s="208"/>
      <c r="L36" s="128" t="s">
        <v>134</v>
      </c>
      <c r="M36" s="210"/>
      <c r="N36" s="211"/>
      <c r="O36" s="211"/>
      <c r="P36" s="211"/>
      <c r="Q36" s="211"/>
      <c r="R36" s="211"/>
      <c r="S36" s="129">
        <f t="shared" ref="S36:S37" si="277">SUM(N36:R36)</f>
        <v>0</v>
      </c>
      <c r="T36" s="211">
        <f t="shared" si="153"/>
        <v>0</v>
      </c>
      <c r="U36" s="211"/>
      <c r="V36" s="211"/>
      <c r="W36" s="211"/>
      <c r="X36" s="129">
        <f t="shared" si="276"/>
        <v>0</v>
      </c>
      <c r="Y36" s="130">
        <f t="shared" si="247"/>
        <v>0</v>
      </c>
      <c r="Z36" s="130">
        <f t="shared" si="248"/>
        <v>0</v>
      </c>
      <c r="AA36" s="213">
        <f t="shared" si="109"/>
        <v>0</v>
      </c>
      <c r="AB36" s="214"/>
      <c r="AC36" s="214"/>
      <c r="AD36" s="214"/>
      <c r="AE36" s="130"/>
      <c r="AF36" s="130"/>
      <c r="AG36" s="130"/>
      <c r="AH36" s="130"/>
      <c r="AI36" s="130"/>
      <c r="AJ36" s="130">
        <f t="shared" si="249"/>
        <v>0</v>
      </c>
      <c r="AK36" s="130">
        <f t="shared" si="250"/>
        <v>0</v>
      </c>
      <c r="AL36" s="130">
        <f t="shared" si="251"/>
        <v>0</v>
      </c>
      <c r="AM36" s="130">
        <f t="shared" si="252"/>
        <v>0</v>
      </c>
      <c r="AN36" s="130">
        <f t="shared" si="253"/>
        <v>0</v>
      </c>
      <c r="AO36" s="130">
        <f t="shared" si="254"/>
        <v>0</v>
      </c>
      <c r="AP36" s="131">
        <f t="shared" si="116"/>
        <v>0</v>
      </c>
      <c r="AQ36" s="131">
        <f t="shared" si="117"/>
        <v>0</v>
      </c>
      <c r="AR36" s="131">
        <f t="shared" si="118"/>
        <v>0</v>
      </c>
      <c r="AS36" s="131">
        <f t="shared" si="119"/>
        <v>0</v>
      </c>
      <c r="AT36" s="130">
        <f t="shared" si="255"/>
        <v>0</v>
      </c>
      <c r="AU36" s="130">
        <f t="shared" si="272"/>
        <v>0</v>
      </c>
      <c r="AV36" s="130">
        <f t="shared" si="273"/>
        <v>0</v>
      </c>
      <c r="AW36" s="130">
        <f t="shared" si="274"/>
        <v>0</v>
      </c>
      <c r="AX36" s="130">
        <f t="shared" si="275"/>
        <v>0</v>
      </c>
      <c r="AY36" s="130">
        <f t="shared" si="256"/>
        <v>0</v>
      </c>
      <c r="AZ36" s="130">
        <f t="shared" si="257"/>
        <v>0</v>
      </c>
      <c r="BA36" s="130">
        <f t="shared" si="258"/>
        <v>0</v>
      </c>
      <c r="BB36" s="130">
        <f t="shared" si="259"/>
        <v>0</v>
      </c>
      <c r="BC36" s="130">
        <f t="shared" si="260"/>
        <v>0</v>
      </c>
      <c r="BD36" s="130">
        <f t="shared" si="261"/>
        <v>0</v>
      </c>
      <c r="BE36" s="130">
        <f t="shared" si="241"/>
        <v>0</v>
      </c>
      <c r="BF36" s="130">
        <f t="shared" si="242"/>
        <v>0</v>
      </c>
      <c r="BG36" s="130">
        <f t="shared" si="243"/>
        <v>0</v>
      </c>
      <c r="BH36" s="130">
        <f t="shared" si="244"/>
        <v>0</v>
      </c>
      <c r="BI36" s="130">
        <f t="shared" si="262"/>
        <v>0</v>
      </c>
      <c r="BJ36" s="130">
        <f t="shared" si="263"/>
        <v>0</v>
      </c>
      <c r="BK36" s="130">
        <f t="shared" si="264"/>
        <v>0</v>
      </c>
      <c r="BL36" s="130">
        <f t="shared" si="265"/>
        <v>0</v>
      </c>
      <c r="BM36" s="130">
        <f t="shared" si="266"/>
        <v>0</v>
      </c>
      <c r="BN36" s="130">
        <f t="shared" si="267"/>
        <v>0</v>
      </c>
      <c r="BO36" s="132">
        <f t="shared" si="268"/>
        <v>0</v>
      </c>
      <c r="BP36" s="215">
        <v>1</v>
      </c>
      <c r="BQ36" s="215">
        <v>12</v>
      </c>
      <c r="BR36" s="215">
        <v>1</v>
      </c>
      <c r="BS36" s="215">
        <v>12</v>
      </c>
      <c r="BT36" s="133">
        <f t="shared" si="269"/>
        <v>41821</v>
      </c>
      <c r="BU36" s="133">
        <f t="shared" si="270"/>
        <v>42186</v>
      </c>
      <c r="BV36" s="134">
        <f>ROUND((1+VLOOKUP(BT36,IF(VLOOKUP(L36,'Расчет инфляции'!$BD$5:$BF$22,3,0)=2,'Расчет инфляции'!$AJ$5:$AK$370,'Расчет инфляции'!$AO$5:$AP$370),2,0))*(1+IF(VLOOKUP(L36,'Расчет инфляции'!$BD$5:$BF$22,3,0)=2,VLOOKUP(H36,'Расчет инфляции'!$BD$25:$BF$52,2,0),VLOOKUP(H36,'Расчет инфляции'!$BD$25:$BF$52,3,0)))-1,4)-IF(VLOOKUP(L36,'Расчет инфляции'!$BD$5:$BF$22,3,0)=2,VLOOKUP(H36,'Расчет инфляции'!$BD$25:$BH$52,4,0),VLOOKUP(H36,'Расчет инфляции'!$BD$25:$BH$52,5,0))</f>
        <v>5.16E-2</v>
      </c>
      <c r="BW36" s="135">
        <f>ROUND((1+VLOOKUP(BU36,IF(VLOOKUP(L36,'Расчет инфляции'!$BD$5:$BF$22,3,0)=2,'Расчет инфляции'!$AL$5:$AM$370,'Расчет инфляции'!$AQ$5:$AR$370),2,0))*(1+IF(VLOOKUP(L36,'Расчет инфляции'!$BD$5:$BF$22,3,0)=2,VLOOKUP(H36,'Расчет инфляции'!$BD$25:$HJ$52,6,0),VLOOKUP(H36,'Расчет инфляции'!$BD$25:$HJ$52,7,0)))*(1+IF(VLOOKUP(L36,'Расчет инфляции'!$BD$5:$BF$22,3,0)=2,VLOOKUP(H36,'Расчет инфляции'!$BD$25:$BF$52,2,0),VLOOKUP(H36,'Расчет инфляции'!$BD$25:$BF$52,3,0)))-1,4)</f>
        <v>0.1052</v>
      </c>
      <c r="BX36" s="132">
        <f t="shared" si="245"/>
        <v>0</v>
      </c>
      <c r="BY36" s="132">
        <f t="shared" si="246"/>
        <v>0</v>
      </c>
      <c r="BZ36" s="215"/>
      <c r="CB36" s="216"/>
      <c r="CC36" s="216"/>
      <c r="CD36" s="216"/>
      <c r="CE36" s="216"/>
      <c r="CF36" s="216"/>
      <c r="CG36" s="216"/>
      <c r="CH36" s="216"/>
      <c r="CI36" s="216"/>
      <c r="CJ36" s="216"/>
      <c r="CK36" s="216"/>
      <c r="CL36" s="216"/>
      <c r="CM36" s="216"/>
      <c r="CN36" s="216"/>
      <c r="CO36" s="216"/>
      <c r="CP36" s="216"/>
      <c r="CQ36" s="216"/>
      <c r="CR36" s="216"/>
      <c r="CS36" s="216"/>
      <c r="CT36" s="216"/>
      <c r="CU36" s="216"/>
      <c r="CV36" s="216"/>
      <c r="CW36" s="216"/>
      <c r="CX36" s="216"/>
      <c r="CY36" s="216"/>
      <c r="CZ36" s="137"/>
      <c r="DA36" s="214"/>
      <c r="DB36" s="214"/>
      <c r="DC36" s="214"/>
      <c r="DD36" s="214">
        <f t="shared" si="146"/>
        <v>0</v>
      </c>
      <c r="DE36" s="138" t="e">
        <f t="shared" si="147"/>
        <v>#DIV/0!</v>
      </c>
      <c r="DF36" s="219" t="e">
        <f t="shared" si="148"/>
        <v>#DIV/0!</v>
      </c>
      <c r="DG36" s="217">
        <v>1</v>
      </c>
      <c r="DH36" s="220">
        <f t="shared" si="271"/>
        <v>100000</v>
      </c>
      <c r="DI36" s="218">
        <v>100000</v>
      </c>
      <c r="DJ36" s="220">
        <f t="shared" si="150"/>
        <v>0</v>
      </c>
      <c r="DK36" s="220" t="b">
        <f t="shared" si="151"/>
        <v>1</v>
      </c>
    </row>
    <row r="37" spans="1:115" s="136" customFormat="1">
      <c r="A37" s="123">
        <f t="shared" si="213"/>
        <v>34</v>
      </c>
      <c r="B37" s="201"/>
      <c r="C37" s="202"/>
      <c r="D37" s="203"/>
      <c r="E37" s="204"/>
      <c r="F37" s="204">
        <v>0.01</v>
      </c>
      <c r="G37" s="205"/>
      <c r="H37" s="141" t="s">
        <v>130</v>
      </c>
      <c r="I37" s="206"/>
      <c r="J37" s="207"/>
      <c r="K37" s="208"/>
      <c r="L37" s="128" t="s">
        <v>134</v>
      </c>
      <c r="M37" s="210"/>
      <c r="N37" s="211"/>
      <c r="O37" s="211"/>
      <c r="P37" s="211"/>
      <c r="Q37" s="211"/>
      <c r="R37" s="211"/>
      <c r="S37" s="129">
        <f t="shared" si="277"/>
        <v>0</v>
      </c>
      <c r="T37" s="211">
        <f t="shared" si="153"/>
        <v>0</v>
      </c>
      <c r="U37" s="211"/>
      <c r="V37" s="211"/>
      <c r="W37" s="211"/>
      <c r="X37" s="129">
        <f t="shared" si="276"/>
        <v>0</v>
      </c>
      <c r="Y37" s="130">
        <f t="shared" si="247"/>
        <v>0</v>
      </c>
      <c r="Z37" s="130">
        <f t="shared" si="248"/>
        <v>0</v>
      </c>
      <c r="AA37" s="213">
        <f t="shared" si="109"/>
        <v>0</v>
      </c>
      <c r="AB37" s="214"/>
      <c r="AC37" s="214"/>
      <c r="AD37" s="214"/>
      <c r="AE37" s="130"/>
      <c r="AF37" s="130"/>
      <c r="AG37" s="130"/>
      <c r="AH37" s="130"/>
      <c r="AI37" s="130"/>
      <c r="AJ37" s="130">
        <f t="shared" si="249"/>
        <v>0</v>
      </c>
      <c r="AK37" s="130">
        <f t="shared" si="250"/>
        <v>0</v>
      </c>
      <c r="AL37" s="130">
        <f t="shared" si="251"/>
        <v>0</v>
      </c>
      <c r="AM37" s="130">
        <f t="shared" si="252"/>
        <v>0</v>
      </c>
      <c r="AN37" s="130">
        <f t="shared" si="253"/>
        <v>0</v>
      </c>
      <c r="AO37" s="130">
        <f t="shared" si="254"/>
        <v>0</v>
      </c>
      <c r="AP37" s="131">
        <f t="shared" si="116"/>
        <v>0</v>
      </c>
      <c r="AQ37" s="131">
        <f t="shared" si="117"/>
        <v>0</v>
      </c>
      <c r="AR37" s="131">
        <f t="shared" si="118"/>
        <v>0</v>
      </c>
      <c r="AS37" s="131">
        <f t="shared" si="119"/>
        <v>0</v>
      </c>
      <c r="AT37" s="130">
        <f t="shared" si="255"/>
        <v>0</v>
      </c>
      <c r="AU37" s="130">
        <f t="shared" si="272"/>
        <v>0</v>
      </c>
      <c r="AV37" s="130">
        <f t="shared" si="273"/>
        <v>0</v>
      </c>
      <c r="AW37" s="130">
        <f t="shared" si="274"/>
        <v>0</v>
      </c>
      <c r="AX37" s="130">
        <f t="shared" si="275"/>
        <v>0</v>
      </c>
      <c r="AY37" s="130">
        <f t="shared" si="256"/>
        <v>0</v>
      </c>
      <c r="AZ37" s="130">
        <f t="shared" si="257"/>
        <v>0</v>
      </c>
      <c r="BA37" s="130">
        <f t="shared" si="258"/>
        <v>0</v>
      </c>
      <c r="BB37" s="130">
        <f t="shared" si="259"/>
        <v>0</v>
      </c>
      <c r="BC37" s="130">
        <f t="shared" si="260"/>
        <v>0</v>
      </c>
      <c r="BD37" s="130">
        <f t="shared" si="261"/>
        <v>0</v>
      </c>
      <c r="BE37" s="130">
        <f t="shared" si="241"/>
        <v>0</v>
      </c>
      <c r="BF37" s="130">
        <f t="shared" si="242"/>
        <v>0</v>
      </c>
      <c r="BG37" s="130">
        <f t="shared" si="243"/>
        <v>0</v>
      </c>
      <c r="BH37" s="130">
        <f t="shared" si="244"/>
        <v>0</v>
      </c>
      <c r="BI37" s="130">
        <f t="shared" si="262"/>
        <v>0</v>
      </c>
      <c r="BJ37" s="130">
        <f t="shared" si="263"/>
        <v>0</v>
      </c>
      <c r="BK37" s="130">
        <f t="shared" si="264"/>
        <v>0</v>
      </c>
      <c r="BL37" s="130">
        <f t="shared" si="265"/>
        <v>0</v>
      </c>
      <c r="BM37" s="130">
        <f t="shared" si="266"/>
        <v>0</v>
      </c>
      <c r="BN37" s="130">
        <f t="shared" si="267"/>
        <v>0</v>
      </c>
      <c r="BO37" s="132">
        <f t="shared" si="268"/>
        <v>0</v>
      </c>
      <c r="BP37" s="215">
        <v>1</v>
      </c>
      <c r="BQ37" s="215">
        <v>12</v>
      </c>
      <c r="BR37" s="215">
        <v>1</v>
      </c>
      <c r="BS37" s="215">
        <v>12</v>
      </c>
      <c r="BT37" s="133">
        <f t="shared" si="269"/>
        <v>41821</v>
      </c>
      <c r="BU37" s="133">
        <f t="shared" si="270"/>
        <v>42186</v>
      </c>
      <c r="BV37" s="134">
        <f>ROUND((1+VLOOKUP(BT37,IF(VLOOKUP(L37,'Расчет инфляции'!$BD$5:$BF$22,3,0)=2,'Расчет инфляции'!$AJ$5:$AK$370,'Расчет инфляции'!$AO$5:$AP$370),2,0))*(1+IF(VLOOKUP(L37,'Расчет инфляции'!$BD$5:$BF$22,3,0)=2,VLOOKUP(H37,'Расчет инфляции'!$BD$25:$BF$52,2,0),VLOOKUP(H37,'Расчет инфляции'!$BD$25:$BF$52,3,0)))-1,4)-IF(VLOOKUP(L37,'Расчет инфляции'!$BD$5:$BF$22,3,0)=2,VLOOKUP(H37,'Расчет инфляции'!$BD$25:$BH$52,4,0),VLOOKUP(H37,'Расчет инфляции'!$BD$25:$BH$52,5,0))</f>
        <v>5.16E-2</v>
      </c>
      <c r="BW37" s="135">
        <f>ROUND((1+VLOOKUP(BU37,IF(VLOOKUP(L37,'Расчет инфляции'!$BD$5:$BF$22,3,0)=2,'Расчет инфляции'!$AL$5:$AM$370,'Расчет инфляции'!$AQ$5:$AR$370),2,0))*(1+IF(VLOOKUP(L37,'Расчет инфляции'!$BD$5:$BF$22,3,0)=2,VLOOKUP(H37,'Расчет инфляции'!$BD$25:$HJ$52,6,0),VLOOKUP(H37,'Расчет инфляции'!$BD$25:$HJ$52,7,0)))*(1+IF(VLOOKUP(L37,'Расчет инфляции'!$BD$5:$BF$22,3,0)=2,VLOOKUP(H37,'Расчет инфляции'!$BD$25:$BF$52,2,0),VLOOKUP(H37,'Расчет инфляции'!$BD$25:$BF$52,3,0)))-1,4)</f>
        <v>0.1052</v>
      </c>
      <c r="BX37" s="132">
        <f t="shared" si="245"/>
        <v>0</v>
      </c>
      <c r="BY37" s="132">
        <f t="shared" si="246"/>
        <v>0</v>
      </c>
      <c r="BZ37" s="215"/>
      <c r="CB37" s="216"/>
      <c r="CC37" s="216"/>
      <c r="CD37" s="216"/>
      <c r="CE37" s="216"/>
      <c r="CF37" s="216"/>
      <c r="CG37" s="216"/>
      <c r="CH37" s="216"/>
      <c r="CI37" s="216"/>
      <c r="CJ37" s="216"/>
      <c r="CK37" s="216"/>
      <c r="CL37" s="216"/>
      <c r="CM37" s="216"/>
      <c r="CN37" s="216"/>
      <c r="CO37" s="216"/>
      <c r="CP37" s="216"/>
      <c r="CQ37" s="216"/>
      <c r="CR37" s="216"/>
      <c r="CS37" s="216"/>
      <c r="CT37" s="216"/>
      <c r="CU37" s="216"/>
      <c r="CV37" s="216"/>
      <c r="CW37" s="216"/>
      <c r="CX37" s="216"/>
      <c r="CY37" s="216"/>
      <c r="CZ37" s="137"/>
      <c r="DA37" s="214"/>
      <c r="DB37" s="214"/>
      <c r="DC37" s="214"/>
      <c r="DD37" s="214">
        <f t="shared" si="146"/>
        <v>0</v>
      </c>
      <c r="DE37" s="138" t="e">
        <f t="shared" si="147"/>
        <v>#DIV/0!</v>
      </c>
      <c r="DF37" s="219" t="e">
        <f t="shared" si="148"/>
        <v>#DIV/0!</v>
      </c>
      <c r="DG37" s="217">
        <v>1</v>
      </c>
      <c r="DH37" s="220">
        <f t="shared" si="271"/>
        <v>100000</v>
      </c>
      <c r="DI37" s="218">
        <v>100000</v>
      </c>
      <c r="DJ37" s="220">
        <f t="shared" si="150"/>
        <v>0</v>
      </c>
      <c r="DK37" s="220" t="b">
        <f t="shared" si="151"/>
        <v>1</v>
      </c>
    </row>
    <row r="38" spans="1:115" s="136" customFormat="1">
      <c r="A38" s="123">
        <f t="shared" si="213"/>
        <v>35</v>
      </c>
      <c r="B38" s="201"/>
      <c r="C38" s="202"/>
      <c r="D38" s="203"/>
      <c r="E38" s="204"/>
      <c r="F38" s="204">
        <v>0.01</v>
      </c>
      <c r="G38" s="205"/>
      <c r="H38" s="141" t="s">
        <v>130</v>
      </c>
      <c r="I38" s="206"/>
      <c r="J38" s="207"/>
      <c r="K38" s="208"/>
      <c r="L38" s="128" t="s">
        <v>134</v>
      </c>
      <c r="M38" s="210"/>
      <c r="N38" s="211"/>
      <c r="O38" s="211"/>
      <c r="P38" s="211"/>
      <c r="Q38" s="211"/>
      <c r="R38" s="211"/>
      <c r="S38" s="129">
        <f t="shared" si="239"/>
        <v>0</v>
      </c>
      <c r="T38" s="211">
        <f t="shared" si="153"/>
        <v>0</v>
      </c>
      <c r="U38" s="211"/>
      <c r="V38" s="211"/>
      <c r="W38" s="211"/>
      <c r="X38" s="129">
        <f t="shared" si="240"/>
        <v>0</v>
      </c>
      <c r="Y38" s="130">
        <f t="shared" si="214"/>
        <v>0</v>
      </c>
      <c r="Z38" s="130">
        <f t="shared" si="215"/>
        <v>0</v>
      </c>
      <c r="AA38" s="213">
        <f t="shared" si="109"/>
        <v>0</v>
      </c>
      <c r="AB38" s="214"/>
      <c r="AC38" s="214"/>
      <c r="AD38" s="214"/>
      <c r="AE38" s="130"/>
      <c r="AF38" s="130"/>
      <c r="AG38" s="130"/>
      <c r="AH38" s="130"/>
      <c r="AI38" s="130"/>
      <c r="AJ38" s="130">
        <f t="shared" si="216"/>
        <v>0</v>
      </c>
      <c r="AK38" s="130">
        <f t="shared" si="217"/>
        <v>0</v>
      </c>
      <c r="AL38" s="130">
        <f t="shared" si="218"/>
        <v>0</v>
      </c>
      <c r="AM38" s="130">
        <f t="shared" si="219"/>
        <v>0</v>
      </c>
      <c r="AN38" s="130">
        <f t="shared" si="220"/>
        <v>0</v>
      </c>
      <c r="AO38" s="130">
        <f t="shared" si="221"/>
        <v>0</v>
      </c>
      <c r="AP38" s="131">
        <f t="shared" si="116"/>
        <v>0</v>
      </c>
      <c r="AQ38" s="131">
        <f t="shared" si="117"/>
        <v>0</v>
      </c>
      <c r="AR38" s="131">
        <f t="shared" si="118"/>
        <v>0</v>
      </c>
      <c r="AS38" s="131">
        <f t="shared" si="119"/>
        <v>0</v>
      </c>
      <c r="AT38" s="130">
        <f t="shared" si="222"/>
        <v>0</v>
      </c>
      <c r="AU38" s="130">
        <f t="shared" si="272"/>
        <v>0</v>
      </c>
      <c r="AV38" s="130">
        <f t="shared" si="273"/>
        <v>0</v>
      </c>
      <c r="AW38" s="130">
        <f t="shared" si="274"/>
        <v>0</v>
      </c>
      <c r="AX38" s="130">
        <f t="shared" si="275"/>
        <v>0</v>
      </c>
      <c r="AY38" s="130">
        <f t="shared" si="223"/>
        <v>0</v>
      </c>
      <c r="AZ38" s="130">
        <f t="shared" si="224"/>
        <v>0</v>
      </c>
      <c r="BA38" s="130">
        <f t="shared" si="225"/>
        <v>0</v>
      </c>
      <c r="BB38" s="130">
        <f t="shared" si="226"/>
        <v>0</v>
      </c>
      <c r="BC38" s="130">
        <f t="shared" si="227"/>
        <v>0</v>
      </c>
      <c r="BD38" s="130">
        <f t="shared" si="228"/>
        <v>0</v>
      </c>
      <c r="BE38" s="130">
        <f t="shared" si="241"/>
        <v>0</v>
      </c>
      <c r="BF38" s="130">
        <f t="shared" si="242"/>
        <v>0</v>
      </c>
      <c r="BG38" s="130">
        <f t="shared" si="243"/>
        <v>0</v>
      </c>
      <c r="BH38" s="130">
        <f t="shared" si="244"/>
        <v>0</v>
      </c>
      <c r="BI38" s="130">
        <f t="shared" si="229"/>
        <v>0</v>
      </c>
      <c r="BJ38" s="130">
        <f t="shared" si="230"/>
        <v>0</v>
      </c>
      <c r="BK38" s="130">
        <f t="shared" si="231"/>
        <v>0</v>
      </c>
      <c r="BL38" s="130">
        <f t="shared" si="232"/>
        <v>0</v>
      </c>
      <c r="BM38" s="130">
        <f t="shared" si="233"/>
        <v>0</v>
      </c>
      <c r="BN38" s="130">
        <f t="shared" si="234"/>
        <v>0</v>
      </c>
      <c r="BO38" s="132">
        <f t="shared" si="235"/>
        <v>0</v>
      </c>
      <c r="BP38" s="215">
        <v>1</v>
      </c>
      <c r="BQ38" s="215">
        <v>12</v>
      </c>
      <c r="BR38" s="215">
        <v>1</v>
      </c>
      <c r="BS38" s="215">
        <v>12</v>
      </c>
      <c r="BT38" s="133">
        <f t="shared" si="236"/>
        <v>41821</v>
      </c>
      <c r="BU38" s="133">
        <f t="shared" si="237"/>
        <v>42186</v>
      </c>
      <c r="BV38" s="134">
        <f>ROUND((1+VLOOKUP(BT38,IF(VLOOKUP(L38,'Расчет инфляции'!$BD$5:$BF$22,3,0)=2,'Расчет инфляции'!$AJ$5:$AK$370,'Расчет инфляции'!$AO$5:$AP$370),2,0))*(1+IF(VLOOKUP(L38,'Расчет инфляции'!$BD$5:$BF$22,3,0)=2,VLOOKUP(H38,'Расчет инфляции'!$BD$25:$BF$52,2,0),VLOOKUP(H38,'Расчет инфляции'!$BD$25:$BF$52,3,0)))-1,4)-IF(VLOOKUP(L38,'Расчет инфляции'!$BD$5:$BF$22,3,0)=2,VLOOKUP(H38,'Расчет инфляции'!$BD$25:$BH$52,4,0),VLOOKUP(H38,'Расчет инфляции'!$BD$25:$BH$52,5,0))</f>
        <v>5.16E-2</v>
      </c>
      <c r="BW38" s="135">
        <f>ROUND((1+VLOOKUP(BU38,IF(VLOOKUP(L38,'Расчет инфляции'!$BD$5:$BF$22,3,0)=2,'Расчет инфляции'!$AL$5:$AM$370,'Расчет инфляции'!$AQ$5:$AR$370),2,0))*(1+IF(VLOOKUP(L38,'Расчет инфляции'!$BD$5:$BF$22,3,0)=2,VLOOKUP(H38,'Расчет инфляции'!$BD$25:$HJ$52,6,0),VLOOKUP(H38,'Расчет инфляции'!$BD$25:$HJ$52,7,0)))*(1+IF(VLOOKUP(L38,'Расчет инфляции'!$BD$5:$BF$22,3,0)=2,VLOOKUP(H38,'Расчет инфляции'!$BD$25:$BF$52,2,0),VLOOKUP(H38,'Расчет инфляции'!$BD$25:$BF$52,3,0)))-1,4)</f>
        <v>0.1052</v>
      </c>
      <c r="BX38" s="132">
        <f t="shared" si="245"/>
        <v>0</v>
      </c>
      <c r="BY38" s="132">
        <f t="shared" si="246"/>
        <v>0</v>
      </c>
      <c r="BZ38" s="215"/>
      <c r="CB38" s="216"/>
      <c r="CC38" s="216"/>
      <c r="CD38" s="216"/>
      <c r="CE38" s="216"/>
      <c r="CF38" s="216"/>
      <c r="CG38" s="216"/>
      <c r="CH38" s="216"/>
      <c r="CI38" s="216"/>
      <c r="CJ38" s="216"/>
      <c r="CK38" s="216"/>
      <c r="CL38" s="216"/>
      <c r="CM38" s="216"/>
      <c r="CN38" s="216"/>
      <c r="CO38" s="216"/>
      <c r="CP38" s="216"/>
      <c r="CQ38" s="216"/>
      <c r="CR38" s="216"/>
      <c r="CS38" s="216"/>
      <c r="CT38" s="216"/>
      <c r="CU38" s="216"/>
      <c r="CV38" s="216"/>
      <c r="CW38" s="216"/>
      <c r="CX38" s="216"/>
      <c r="CY38" s="216"/>
      <c r="CZ38" s="137"/>
      <c r="DA38" s="214"/>
      <c r="DB38" s="214"/>
      <c r="DC38" s="214"/>
      <c r="DD38" s="214">
        <f t="shared" si="146"/>
        <v>0</v>
      </c>
      <c r="DE38" s="138" t="e">
        <f t="shared" si="147"/>
        <v>#DIV/0!</v>
      </c>
      <c r="DF38" s="219" t="e">
        <f t="shared" si="148"/>
        <v>#DIV/0!</v>
      </c>
      <c r="DG38" s="217">
        <v>1</v>
      </c>
      <c r="DH38" s="220">
        <f t="shared" si="238"/>
        <v>100000</v>
      </c>
      <c r="DI38" s="218">
        <v>100000</v>
      </c>
      <c r="DJ38" s="220">
        <f t="shared" si="150"/>
        <v>0</v>
      </c>
      <c r="DK38" s="220" t="b">
        <f t="shared" si="151"/>
        <v>1</v>
      </c>
    </row>
    <row r="39" spans="1:115" s="136" customFormat="1">
      <c r="A39" s="123">
        <f t="shared" si="213"/>
        <v>36</v>
      </c>
      <c r="B39" s="201"/>
      <c r="C39" s="202"/>
      <c r="D39" s="203"/>
      <c r="E39" s="204"/>
      <c r="F39" s="204">
        <v>0.01</v>
      </c>
      <c r="G39" s="205"/>
      <c r="H39" s="141" t="s">
        <v>130</v>
      </c>
      <c r="I39" s="206"/>
      <c r="J39" s="207"/>
      <c r="K39" s="208"/>
      <c r="L39" s="128" t="s">
        <v>134</v>
      </c>
      <c r="M39" s="210"/>
      <c r="N39" s="211"/>
      <c r="O39" s="211"/>
      <c r="P39" s="211"/>
      <c r="Q39" s="211"/>
      <c r="R39" s="211"/>
      <c r="S39" s="129">
        <f t="shared" si="210"/>
        <v>0</v>
      </c>
      <c r="T39" s="211">
        <f t="shared" si="153"/>
        <v>0</v>
      </c>
      <c r="U39" s="211"/>
      <c r="V39" s="211"/>
      <c r="W39" s="211"/>
      <c r="X39" s="129">
        <f t="shared" si="211"/>
        <v>0</v>
      </c>
      <c r="Y39" s="130">
        <f t="shared" ref="Y39:Y43" si="278">ROUND($E39*T39,0)</f>
        <v>0</v>
      </c>
      <c r="Z39" s="130">
        <f t="shared" ref="Z39:Z43" si="279">ROUND($E39*U39,0)</f>
        <v>0</v>
      </c>
      <c r="AA39" s="213">
        <f t="shared" si="109"/>
        <v>0</v>
      </c>
      <c r="AB39" s="214"/>
      <c r="AC39" s="214"/>
      <c r="AD39" s="214"/>
      <c r="AE39" s="130"/>
      <c r="AF39" s="130"/>
      <c r="AG39" s="130"/>
      <c r="AH39" s="130"/>
      <c r="AI39" s="130"/>
      <c r="AJ39" s="130">
        <f t="shared" ref="AJ39:AJ43" si="280">ROUND(SUM(AF39:AI39),0)</f>
        <v>0</v>
      </c>
      <c r="AK39" s="130">
        <f t="shared" ref="AK39:AK43" si="281">T39+Y39+AB39+AF39</f>
        <v>0</v>
      </c>
      <c r="AL39" s="130">
        <f t="shared" ref="AL39:AL43" si="282">U39+Z39+AC39+AG39</f>
        <v>0</v>
      </c>
      <c r="AM39" s="130">
        <f t="shared" ref="AM39:AM43" si="283">V39+AH39</f>
        <v>0</v>
      </c>
      <c r="AN39" s="130">
        <f t="shared" ref="AN39:AN43" si="284">W39+AA39+AD39+AE39+AI39</f>
        <v>0</v>
      </c>
      <c r="AO39" s="130">
        <f t="shared" ref="AO39:AO43" si="285">SUM(AK39:AN39)</f>
        <v>0</v>
      </c>
      <c r="AP39" s="131">
        <f t="shared" si="116"/>
        <v>0</v>
      </c>
      <c r="AQ39" s="131">
        <f t="shared" si="117"/>
        <v>0</v>
      </c>
      <c r="AR39" s="131">
        <f t="shared" si="118"/>
        <v>0</v>
      </c>
      <c r="AS39" s="131">
        <f t="shared" si="119"/>
        <v>0</v>
      </c>
      <c r="AT39" s="130">
        <f t="shared" ref="AT39:AT43" si="286">SUM(AP39:AS39)</f>
        <v>0</v>
      </c>
      <c r="AU39" s="130">
        <f t="shared" si="272"/>
        <v>0</v>
      </c>
      <c r="AV39" s="130">
        <f t="shared" si="273"/>
        <v>0</v>
      </c>
      <c r="AW39" s="130">
        <f t="shared" si="274"/>
        <v>0</v>
      </c>
      <c r="AX39" s="130">
        <f t="shared" si="275"/>
        <v>0</v>
      </c>
      <c r="AY39" s="130">
        <f t="shared" ref="AY39:AY43" si="287">SUM(AU39:AX39)</f>
        <v>0</v>
      </c>
      <c r="AZ39" s="130">
        <f t="shared" ref="AZ39:AZ43" si="288">ROUND(18%*SUM(AP39,AU39),0)</f>
        <v>0</v>
      </c>
      <c r="BA39" s="130">
        <f t="shared" ref="BA39:BA43" si="289">ROUND(18%*SUM(AQ39,AV39),0)</f>
        <v>0</v>
      </c>
      <c r="BB39" s="130">
        <f t="shared" ref="BB39:BB43" si="290">ROUND(18%*SUM(AR39,AW39),0)</f>
        <v>0</v>
      </c>
      <c r="BC39" s="130">
        <f t="shared" ref="BC39:BC43" si="291">ROUND(18%*SUM(AS39,AX39),0)</f>
        <v>0</v>
      </c>
      <c r="BD39" s="130">
        <f t="shared" ref="BD39:BD43" si="292">SUM(AZ39:BC39)</f>
        <v>0</v>
      </c>
      <c r="BE39" s="130">
        <f t="shared" si="241"/>
        <v>0</v>
      </c>
      <c r="BF39" s="130">
        <f t="shared" si="242"/>
        <v>0</v>
      </c>
      <c r="BG39" s="130">
        <f t="shared" si="243"/>
        <v>0</v>
      </c>
      <c r="BH39" s="130">
        <f t="shared" si="244"/>
        <v>0</v>
      </c>
      <c r="BI39" s="130">
        <f t="shared" ref="BI39:BI43" si="293">SUM(BE39:BH39)</f>
        <v>0</v>
      </c>
      <c r="BJ39" s="130">
        <f t="shared" ref="BJ39:BJ43" si="294">ROUND(18%*(AK39-AP39+BE39),0)</f>
        <v>0</v>
      </c>
      <c r="BK39" s="130">
        <f t="shared" ref="BK39:BK43" si="295">ROUND(18%*(AL39-AQ39+BF39),0)</f>
        <v>0</v>
      </c>
      <c r="BL39" s="130">
        <f t="shared" ref="BL39:BL43" si="296">ROUND(18%*(AM39-AR39+BG39),0)</f>
        <v>0</v>
      </c>
      <c r="BM39" s="130">
        <f t="shared" ref="BM39:BM43" si="297">ROUND(18%*(AN39-AS39+BH39),0)</f>
        <v>0</v>
      </c>
      <c r="BN39" s="130">
        <f t="shared" ref="BN39:BN43" si="298">SUM(BJ39:BM39)</f>
        <v>0</v>
      </c>
      <c r="BO39" s="132">
        <f t="shared" ref="BO39:BO43" si="299">SUM(AO39,AY39,BD39,BI39,BN39)</f>
        <v>0</v>
      </c>
      <c r="BP39" s="215">
        <v>1</v>
      </c>
      <c r="BQ39" s="215">
        <v>12</v>
      </c>
      <c r="BR39" s="215">
        <v>1</v>
      </c>
      <c r="BS39" s="215">
        <v>12</v>
      </c>
      <c r="BT39" s="133">
        <f t="shared" ref="BT39:BT43" si="300">ROUND((CONCATENATE("15.",BQ39,".2014")-CONCATENATE("15.",BP39,".2014"))/2,0)+CONCATENATE("15.",BP39,".2014")</f>
        <v>41821</v>
      </c>
      <c r="BU39" s="133">
        <f t="shared" ref="BU39:BU43" si="301">ROUND((CONCATENATE("15.",BS39,".2015")-CONCATENATE("15.",BR39,".2015"))/2,0)+CONCATENATE("15.",BR39,".2015")</f>
        <v>42186</v>
      </c>
      <c r="BV39" s="134">
        <f>ROUND((1+VLOOKUP(BT39,IF(VLOOKUP(L39,'Расчет инфляции'!$BD$5:$BF$22,3,0)=2,'Расчет инфляции'!$AJ$5:$AK$370,'Расчет инфляции'!$AO$5:$AP$370),2,0))*(1+IF(VLOOKUP(L39,'Расчет инфляции'!$BD$5:$BF$22,3,0)=2,VLOOKUP(H39,'Расчет инфляции'!$BD$25:$BF$52,2,0),VLOOKUP(H39,'Расчет инфляции'!$BD$25:$BF$52,3,0)))-1,4)-IF(VLOOKUP(L39,'Расчет инфляции'!$BD$5:$BF$22,3,0)=2,VLOOKUP(H39,'Расчет инфляции'!$BD$25:$BH$52,4,0),VLOOKUP(H39,'Расчет инфляции'!$BD$25:$BH$52,5,0))</f>
        <v>5.16E-2</v>
      </c>
      <c r="BW39" s="135">
        <f>ROUND((1+VLOOKUP(BU39,IF(VLOOKUP(L39,'Расчет инфляции'!$BD$5:$BF$22,3,0)=2,'Расчет инфляции'!$AL$5:$AM$370,'Расчет инфляции'!$AQ$5:$AR$370),2,0))*(1+IF(VLOOKUP(L39,'Расчет инфляции'!$BD$5:$BF$22,3,0)=2,VLOOKUP(H39,'Расчет инфляции'!$BD$25:$HJ$52,6,0),VLOOKUP(H39,'Расчет инфляции'!$BD$25:$HJ$52,7,0)))*(1+IF(VLOOKUP(L39,'Расчет инфляции'!$BD$5:$BF$22,3,0)=2,VLOOKUP(H39,'Расчет инфляции'!$BD$25:$BF$52,2,0),VLOOKUP(H39,'Расчет инфляции'!$BD$25:$BF$52,3,0)))-1,4)</f>
        <v>0.1052</v>
      </c>
      <c r="BX39" s="132">
        <f t="shared" si="245"/>
        <v>0</v>
      </c>
      <c r="BY39" s="132">
        <f t="shared" si="246"/>
        <v>0</v>
      </c>
      <c r="BZ39" s="215"/>
      <c r="CB39" s="216"/>
      <c r="CC39" s="216"/>
      <c r="CD39" s="216"/>
      <c r="CE39" s="216"/>
      <c r="CF39" s="216"/>
      <c r="CG39" s="216"/>
      <c r="CH39" s="216"/>
      <c r="CI39" s="216"/>
      <c r="CJ39" s="216"/>
      <c r="CK39" s="216"/>
      <c r="CL39" s="216"/>
      <c r="CM39" s="216"/>
      <c r="CN39" s="216"/>
      <c r="CO39" s="216"/>
      <c r="CP39" s="216"/>
      <c r="CQ39" s="216"/>
      <c r="CR39" s="216"/>
      <c r="CS39" s="216"/>
      <c r="CT39" s="216"/>
      <c r="CU39" s="216"/>
      <c r="CV39" s="216"/>
      <c r="CW39" s="216"/>
      <c r="CX39" s="216"/>
      <c r="CY39" s="216"/>
      <c r="CZ39" s="137"/>
      <c r="DA39" s="214"/>
      <c r="DB39" s="214"/>
      <c r="DC39" s="214"/>
      <c r="DD39" s="214">
        <f t="shared" si="146"/>
        <v>0</v>
      </c>
      <c r="DE39" s="138" t="e">
        <f t="shared" si="147"/>
        <v>#DIV/0!</v>
      </c>
      <c r="DF39" s="219" t="e">
        <f t="shared" si="148"/>
        <v>#DIV/0!</v>
      </c>
      <c r="DG39" s="217">
        <v>1</v>
      </c>
      <c r="DH39" s="220">
        <f t="shared" ref="DH39:DH43" si="302">DG39*DI39</f>
        <v>100000</v>
      </c>
      <c r="DI39" s="218">
        <v>100000</v>
      </c>
      <c r="DJ39" s="220">
        <f t="shared" si="150"/>
        <v>0</v>
      </c>
      <c r="DK39" s="220" t="b">
        <f t="shared" si="151"/>
        <v>1</v>
      </c>
    </row>
    <row r="40" spans="1:115" s="136" customFormat="1">
      <c r="A40" s="123">
        <f t="shared" si="213"/>
        <v>37</v>
      </c>
      <c r="B40" s="201"/>
      <c r="C40" s="202"/>
      <c r="D40" s="203"/>
      <c r="E40" s="204"/>
      <c r="F40" s="204">
        <v>0.01</v>
      </c>
      <c r="G40" s="205"/>
      <c r="H40" s="141" t="s">
        <v>130</v>
      </c>
      <c r="I40" s="206"/>
      <c r="J40" s="207"/>
      <c r="K40" s="208"/>
      <c r="L40" s="128" t="s">
        <v>134</v>
      </c>
      <c r="M40" s="210"/>
      <c r="N40" s="211"/>
      <c r="O40" s="211"/>
      <c r="P40" s="211"/>
      <c r="Q40" s="211"/>
      <c r="R40" s="211"/>
      <c r="S40" s="129">
        <f t="shared" si="210"/>
        <v>0</v>
      </c>
      <c r="T40" s="211">
        <f t="shared" si="153"/>
        <v>0</v>
      </c>
      <c r="U40" s="211"/>
      <c r="V40" s="211"/>
      <c r="W40" s="211"/>
      <c r="X40" s="129">
        <f t="shared" si="211"/>
        <v>0</v>
      </c>
      <c r="Y40" s="130">
        <f t="shared" si="278"/>
        <v>0</v>
      </c>
      <c r="Z40" s="130">
        <f t="shared" si="279"/>
        <v>0</v>
      </c>
      <c r="AA40" s="213">
        <f t="shared" si="109"/>
        <v>0</v>
      </c>
      <c r="AB40" s="214"/>
      <c r="AC40" s="214"/>
      <c r="AD40" s="214"/>
      <c r="AE40" s="130"/>
      <c r="AF40" s="130"/>
      <c r="AG40" s="130"/>
      <c r="AH40" s="130"/>
      <c r="AI40" s="130"/>
      <c r="AJ40" s="130">
        <f t="shared" si="280"/>
        <v>0</v>
      </c>
      <c r="AK40" s="130">
        <f t="shared" si="281"/>
        <v>0</v>
      </c>
      <c r="AL40" s="130">
        <f t="shared" si="282"/>
        <v>0</v>
      </c>
      <c r="AM40" s="130">
        <f t="shared" si="283"/>
        <v>0</v>
      </c>
      <c r="AN40" s="130">
        <f t="shared" si="284"/>
        <v>0</v>
      </c>
      <c r="AO40" s="130">
        <f t="shared" si="285"/>
        <v>0</v>
      </c>
      <c r="AP40" s="131">
        <f t="shared" si="116"/>
        <v>0</v>
      </c>
      <c r="AQ40" s="131">
        <f t="shared" si="117"/>
        <v>0</v>
      </c>
      <c r="AR40" s="131">
        <f t="shared" si="118"/>
        <v>0</v>
      </c>
      <c r="AS40" s="131">
        <f t="shared" si="119"/>
        <v>0</v>
      </c>
      <c r="AT40" s="130">
        <f t="shared" si="286"/>
        <v>0</v>
      </c>
      <c r="AU40" s="130">
        <f t="shared" si="272"/>
        <v>0</v>
      </c>
      <c r="AV40" s="130">
        <f t="shared" si="273"/>
        <v>0</v>
      </c>
      <c r="AW40" s="130">
        <f t="shared" si="274"/>
        <v>0</v>
      </c>
      <c r="AX40" s="130">
        <f t="shared" si="275"/>
        <v>0</v>
      </c>
      <c r="AY40" s="130">
        <f t="shared" si="287"/>
        <v>0</v>
      </c>
      <c r="AZ40" s="130">
        <f t="shared" si="288"/>
        <v>0</v>
      </c>
      <c r="BA40" s="130">
        <f t="shared" si="289"/>
        <v>0</v>
      </c>
      <c r="BB40" s="130">
        <f t="shared" si="290"/>
        <v>0</v>
      </c>
      <c r="BC40" s="130">
        <f t="shared" si="291"/>
        <v>0</v>
      </c>
      <c r="BD40" s="130">
        <f t="shared" si="292"/>
        <v>0</v>
      </c>
      <c r="BE40" s="130">
        <f t="shared" ref="BE40:BE43" si="303">ROUND($BW40*(AK40-AP40),0)</f>
        <v>0</v>
      </c>
      <c r="BF40" s="130">
        <f t="shared" ref="BF40:BF43" si="304">ROUND($BW40*(AL40-AQ40),0)</f>
        <v>0</v>
      </c>
      <c r="BG40" s="130">
        <f t="shared" ref="BG40:BG43" si="305">ROUND($BW40*(AM40-AR40),0)</f>
        <v>0</v>
      </c>
      <c r="BH40" s="130">
        <f t="shared" ref="BH40:BH43" si="306">ROUND($BW40*(AN40-AS40),0)</f>
        <v>0</v>
      </c>
      <c r="BI40" s="130">
        <f t="shared" si="293"/>
        <v>0</v>
      </c>
      <c r="BJ40" s="130">
        <f t="shared" si="294"/>
        <v>0</v>
      </c>
      <c r="BK40" s="130">
        <f t="shared" si="295"/>
        <v>0</v>
      </c>
      <c r="BL40" s="130">
        <f t="shared" si="296"/>
        <v>0</v>
      </c>
      <c r="BM40" s="130">
        <f t="shared" si="297"/>
        <v>0</v>
      </c>
      <c r="BN40" s="130">
        <f t="shared" si="298"/>
        <v>0</v>
      </c>
      <c r="BO40" s="132">
        <f t="shared" si="299"/>
        <v>0</v>
      </c>
      <c r="BP40" s="215">
        <v>1</v>
      </c>
      <c r="BQ40" s="215">
        <v>12</v>
      </c>
      <c r="BR40" s="215">
        <v>1</v>
      </c>
      <c r="BS40" s="215">
        <v>12</v>
      </c>
      <c r="BT40" s="133">
        <f t="shared" si="300"/>
        <v>41821</v>
      </c>
      <c r="BU40" s="133">
        <f t="shared" si="301"/>
        <v>42186</v>
      </c>
      <c r="BV40" s="134">
        <f>ROUND((1+VLOOKUP(BT40,IF(VLOOKUP(L40,'Расчет инфляции'!$BD$5:$BF$22,3,0)=2,'Расчет инфляции'!$AJ$5:$AK$370,'Расчет инфляции'!$AO$5:$AP$370),2,0))*(1+IF(VLOOKUP(L40,'Расчет инфляции'!$BD$5:$BF$22,3,0)=2,VLOOKUP(H40,'Расчет инфляции'!$BD$25:$BF$52,2,0),VLOOKUP(H40,'Расчет инфляции'!$BD$25:$BF$52,3,0)))-1,4)-IF(VLOOKUP(L40,'Расчет инфляции'!$BD$5:$BF$22,3,0)=2,VLOOKUP(H40,'Расчет инфляции'!$BD$25:$BH$52,4,0),VLOOKUP(H40,'Расчет инфляции'!$BD$25:$BH$52,5,0))</f>
        <v>5.16E-2</v>
      </c>
      <c r="BW40" s="135">
        <f>ROUND((1+VLOOKUP(BU40,IF(VLOOKUP(L40,'Расчет инфляции'!$BD$5:$BF$22,3,0)=2,'Расчет инфляции'!$AL$5:$AM$370,'Расчет инфляции'!$AQ$5:$AR$370),2,0))*(1+IF(VLOOKUP(L40,'Расчет инфляции'!$BD$5:$BF$22,3,0)=2,VLOOKUP(H40,'Расчет инфляции'!$BD$25:$HJ$52,6,0),VLOOKUP(H40,'Расчет инфляции'!$BD$25:$HJ$52,7,0)))*(1+IF(VLOOKUP(L40,'Расчет инфляции'!$BD$5:$BF$22,3,0)=2,VLOOKUP(H40,'Расчет инфляции'!$BD$25:$BF$52,2,0),VLOOKUP(H40,'Расчет инфляции'!$BD$25:$BF$52,3,0)))-1,4)</f>
        <v>0.1052</v>
      </c>
      <c r="BX40" s="132">
        <f t="shared" ref="BX40:BX43" si="307">AT40+AY40+BD40</f>
        <v>0</v>
      </c>
      <c r="BY40" s="132">
        <f t="shared" ref="BY40:BY43" si="308">AO40-AT40+BI40+BN40</f>
        <v>0</v>
      </c>
      <c r="BZ40" s="215"/>
      <c r="CB40" s="216"/>
      <c r="CC40" s="216"/>
      <c r="CD40" s="216"/>
      <c r="CE40" s="216"/>
      <c r="CF40" s="216"/>
      <c r="CG40" s="216"/>
      <c r="CH40" s="216"/>
      <c r="CI40" s="216"/>
      <c r="CJ40" s="216"/>
      <c r="CK40" s="216"/>
      <c r="CL40" s="216"/>
      <c r="CM40" s="216"/>
      <c r="CN40" s="216"/>
      <c r="CO40" s="216"/>
      <c r="CP40" s="216"/>
      <c r="CQ40" s="216"/>
      <c r="CR40" s="216"/>
      <c r="CS40" s="216"/>
      <c r="CT40" s="216"/>
      <c r="CU40" s="216"/>
      <c r="CV40" s="216"/>
      <c r="CW40" s="216"/>
      <c r="CX40" s="216"/>
      <c r="CY40" s="216"/>
      <c r="CZ40" s="137"/>
      <c r="DA40" s="214"/>
      <c r="DB40" s="214"/>
      <c r="DC40" s="214"/>
      <c r="DD40" s="214">
        <f t="shared" si="146"/>
        <v>0</v>
      </c>
      <c r="DE40" s="138" t="e">
        <f t="shared" si="147"/>
        <v>#DIV/0!</v>
      </c>
      <c r="DF40" s="219" t="e">
        <f t="shared" si="148"/>
        <v>#DIV/0!</v>
      </c>
      <c r="DG40" s="217">
        <v>1</v>
      </c>
      <c r="DH40" s="220">
        <f t="shared" si="302"/>
        <v>100000</v>
      </c>
      <c r="DI40" s="218">
        <v>100000</v>
      </c>
      <c r="DJ40" s="220">
        <f t="shared" si="150"/>
        <v>0</v>
      </c>
      <c r="DK40" s="220" t="b">
        <f t="shared" si="151"/>
        <v>1</v>
      </c>
    </row>
    <row r="41" spans="1:115" s="136" customFormat="1">
      <c r="A41" s="123">
        <f t="shared" si="213"/>
        <v>38</v>
      </c>
      <c r="B41" s="201"/>
      <c r="C41" s="202"/>
      <c r="D41" s="203"/>
      <c r="E41" s="204"/>
      <c r="F41" s="204">
        <v>0.01</v>
      </c>
      <c r="G41" s="205"/>
      <c r="H41" s="141" t="s">
        <v>130</v>
      </c>
      <c r="I41" s="206"/>
      <c r="J41" s="207"/>
      <c r="K41" s="208"/>
      <c r="L41" s="128" t="s">
        <v>134</v>
      </c>
      <c r="M41" s="210"/>
      <c r="N41" s="211"/>
      <c r="O41" s="211"/>
      <c r="P41" s="211"/>
      <c r="Q41" s="211"/>
      <c r="R41" s="211"/>
      <c r="S41" s="129">
        <f t="shared" si="210"/>
        <v>0</v>
      </c>
      <c r="T41" s="211">
        <f t="shared" si="153"/>
        <v>0</v>
      </c>
      <c r="U41" s="211"/>
      <c r="V41" s="211"/>
      <c r="W41" s="211"/>
      <c r="X41" s="129">
        <f t="shared" si="211"/>
        <v>0</v>
      </c>
      <c r="Y41" s="130">
        <f t="shared" si="278"/>
        <v>0</v>
      </c>
      <c r="Z41" s="130">
        <f t="shared" si="279"/>
        <v>0</v>
      </c>
      <c r="AA41" s="213">
        <f t="shared" si="109"/>
        <v>0</v>
      </c>
      <c r="AB41" s="214"/>
      <c r="AC41" s="214"/>
      <c r="AD41" s="214"/>
      <c r="AE41" s="130"/>
      <c r="AF41" s="130"/>
      <c r="AG41" s="130"/>
      <c r="AH41" s="130"/>
      <c r="AI41" s="130"/>
      <c r="AJ41" s="130">
        <f t="shared" si="280"/>
        <v>0</v>
      </c>
      <c r="AK41" s="130">
        <f t="shared" si="281"/>
        <v>0</v>
      </c>
      <c r="AL41" s="130">
        <f t="shared" si="282"/>
        <v>0</v>
      </c>
      <c r="AM41" s="130">
        <f t="shared" si="283"/>
        <v>0</v>
      </c>
      <c r="AN41" s="130">
        <f t="shared" si="284"/>
        <v>0</v>
      </c>
      <c r="AO41" s="130">
        <f t="shared" si="285"/>
        <v>0</v>
      </c>
      <c r="AP41" s="131">
        <f t="shared" si="116"/>
        <v>0</v>
      </c>
      <c r="AQ41" s="131">
        <f t="shared" si="117"/>
        <v>0</v>
      </c>
      <c r="AR41" s="131">
        <f t="shared" si="118"/>
        <v>0</v>
      </c>
      <c r="AS41" s="131">
        <f t="shared" si="119"/>
        <v>0</v>
      </c>
      <c r="AT41" s="130">
        <f t="shared" si="286"/>
        <v>0</v>
      </c>
      <c r="AU41" s="130">
        <f t="shared" ref="AU41:AU43" si="309">ROUND($BV41*AP41,0)</f>
        <v>0</v>
      </c>
      <c r="AV41" s="130">
        <f t="shared" ref="AV41:AV43" si="310">ROUND($BV41*AQ41,0)</f>
        <v>0</v>
      </c>
      <c r="AW41" s="130">
        <f t="shared" ref="AW41:AW43" si="311">ROUND($BV41*AR41,0)</f>
        <v>0</v>
      </c>
      <c r="AX41" s="130">
        <f t="shared" ref="AX41:AX43" si="312">ROUND($BV41*AS41,0)</f>
        <v>0</v>
      </c>
      <c r="AY41" s="130">
        <f t="shared" si="287"/>
        <v>0</v>
      </c>
      <c r="AZ41" s="130">
        <f t="shared" si="288"/>
        <v>0</v>
      </c>
      <c r="BA41" s="130">
        <f t="shared" si="289"/>
        <v>0</v>
      </c>
      <c r="BB41" s="130">
        <f t="shared" si="290"/>
        <v>0</v>
      </c>
      <c r="BC41" s="130">
        <f t="shared" si="291"/>
        <v>0</v>
      </c>
      <c r="BD41" s="130">
        <f t="shared" si="292"/>
        <v>0</v>
      </c>
      <c r="BE41" s="130">
        <f t="shared" si="303"/>
        <v>0</v>
      </c>
      <c r="BF41" s="130">
        <f t="shared" si="304"/>
        <v>0</v>
      </c>
      <c r="BG41" s="130">
        <f t="shared" si="305"/>
        <v>0</v>
      </c>
      <c r="BH41" s="130">
        <f t="shared" si="306"/>
        <v>0</v>
      </c>
      <c r="BI41" s="130">
        <f t="shared" si="293"/>
        <v>0</v>
      </c>
      <c r="BJ41" s="130">
        <f t="shared" si="294"/>
        <v>0</v>
      </c>
      <c r="BK41" s="130">
        <f t="shared" si="295"/>
        <v>0</v>
      </c>
      <c r="BL41" s="130">
        <f t="shared" si="296"/>
        <v>0</v>
      </c>
      <c r="BM41" s="130">
        <f t="shared" si="297"/>
        <v>0</v>
      </c>
      <c r="BN41" s="130">
        <f t="shared" si="298"/>
        <v>0</v>
      </c>
      <c r="BO41" s="132">
        <f t="shared" si="299"/>
        <v>0</v>
      </c>
      <c r="BP41" s="215">
        <v>1</v>
      </c>
      <c r="BQ41" s="215">
        <v>12</v>
      </c>
      <c r="BR41" s="215">
        <v>1</v>
      </c>
      <c r="BS41" s="215">
        <v>12</v>
      </c>
      <c r="BT41" s="133">
        <f t="shared" si="300"/>
        <v>41821</v>
      </c>
      <c r="BU41" s="133">
        <f t="shared" si="301"/>
        <v>42186</v>
      </c>
      <c r="BV41" s="134">
        <f>ROUND((1+VLOOKUP(BT41,IF(VLOOKUP(L41,'Расчет инфляции'!$BD$5:$BF$22,3,0)=2,'Расчет инфляции'!$AJ$5:$AK$370,'Расчет инфляции'!$AO$5:$AP$370),2,0))*(1+IF(VLOOKUP(L41,'Расчет инфляции'!$BD$5:$BF$22,3,0)=2,VLOOKUP(H41,'Расчет инфляции'!$BD$25:$BF$52,2,0),VLOOKUP(H41,'Расчет инфляции'!$BD$25:$BF$52,3,0)))-1,4)-IF(VLOOKUP(L41,'Расчет инфляции'!$BD$5:$BF$22,3,0)=2,VLOOKUP(H41,'Расчет инфляции'!$BD$25:$BH$52,4,0),VLOOKUP(H41,'Расчет инфляции'!$BD$25:$BH$52,5,0))</f>
        <v>5.16E-2</v>
      </c>
      <c r="BW41" s="135">
        <f>ROUND((1+VLOOKUP(BU41,IF(VLOOKUP(L41,'Расчет инфляции'!$BD$5:$BF$22,3,0)=2,'Расчет инфляции'!$AL$5:$AM$370,'Расчет инфляции'!$AQ$5:$AR$370),2,0))*(1+IF(VLOOKUP(L41,'Расчет инфляции'!$BD$5:$BF$22,3,0)=2,VLOOKUP(H41,'Расчет инфляции'!$BD$25:$HJ$52,6,0),VLOOKUP(H41,'Расчет инфляции'!$BD$25:$HJ$52,7,0)))*(1+IF(VLOOKUP(L41,'Расчет инфляции'!$BD$5:$BF$22,3,0)=2,VLOOKUP(H41,'Расчет инфляции'!$BD$25:$BF$52,2,0),VLOOKUP(H41,'Расчет инфляции'!$BD$25:$BF$52,3,0)))-1,4)</f>
        <v>0.1052</v>
      </c>
      <c r="BX41" s="132">
        <f t="shared" si="307"/>
        <v>0</v>
      </c>
      <c r="BY41" s="132">
        <f t="shared" si="308"/>
        <v>0</v>
      </c>
      <c r="BZ41" s="215"/>
      <c r="CB41" s="216"/>
      <c r="CC41" s="216"/>
      <c r="CD41" s="216"/>
      <c r="CE41" s="216"/>
      <c r="CF41" s="216"/>
      <c r="CG41" s="216"/>
      <c r="CH41" s="216"/>
      <c r="CI41" s="216"/>
      <c r="CJ41" s="216"/>
      <c r="CK41" s="216"/>
      <c r="CL41" s="216"/>
      <c r="CM41" s="216"/>
      <c r="CN41" s="216"/>
      <c r="CO41" s="216"/>
      <c r="CP41" s="216"/>
      <c r="CQ41" s="216"/>
      <c r="CR41" s="216"/>
      <c r="CS41" s="216"/>
      <c r="CT41" s="216"/>
      <c r="CU41" s="216"/>
      <c r="CV41" s="216"/>
      <c r="CW41" s="216"/>
      <c r="CX41" s="216"/>
      <c r="CY41" s="216"/>
      <c r="CZ41" s="137"/>
      <c r="DA41" s="214"/>
      <c r="DB41" s="214"/>
      <c r="DC41" s="214"/>
      <c r="DD41" s="214">
        <f t="shared" si="146"/>
        <v>0</v>
      </c>
      <c r="DE41" s="138" t="e">
        <f t="shared" ref="DE41:DE43" si="313">ROUND(AA41/SUM(T41:U41,Y41:Z41),3)=F41</f>
        <v>#DIV/0!</v>
      </c>
      <c r="DF41" s="219" t="e">
        <f t="shared" si="148"/>
        <v>#DIV/0!</v>
      </c>
      <c r="DG41" s="217">
        <v>1</v>
      </c>
      <c r="DH41" s="220">
        <f t="shared" si="302"/>
        <v>100000</v>
      </c>
      <c r="DI41" s="218">
        <v>100000</v>
      </c>
      <c r="DJ41" s="220">
        <f t="shared" si="150"/>
        <v>0</v>
      </c>
      <c r="DK41" s="220" t="b">
        <f t="shared" si="151"/>
        <v>1</v>
      </c>
    </row>
    <row r="42" spans="1:115" s="136" customFormat="1">
      <c r="A42" s="123">
        <f>A41+1</f>
        <v>39</v>
      </c>
      <c r="B42" s="201"/>
      <c r="C42" s="202"/>
      <c r="D42" s="203"/>
      <c r="E42" s="204"/>
      <c r="F42" s="204">
        <v>0.01</v>
      </c>
      <c r="G42" s="205"/>
      <c r="H42" s="141" t="s">
        <v>130</v>
      </c>
      <c r="I42" s="206"/>
      <c r="J42" s="207"/>
      <c r="K42" s="208"/>
      <c r="L42" s="128" t="s">
        <v>134</v>
      </c>
      <c r="M42" s="210"/>
      <c r="N42" s="211"/>
      <c r="O42" s="211"/>
      <c r="P42" s="211"/>
      <c r="Q42" s="211"/>
      <c r="R42" s="211"/>
      <c r="S42" s="129">
        <f t="shared" ref="S42:S43" si="314">SUM(N42:R42)</f>
        <v>0</v>
      </c>
      <c r="T42" s="211">
        <f t="shared" si="153"/>
        <v>0</v>
      </c>
      <c r="U42" s="211"/>
      <c r="V42" s="211"/>
      <c r="W42" s="211"/>
      <c r="X42" s="129">
        <f t="shared" ref="X42:X43" si="315">SUM(T42:W42)</f>
        <v>0</v>
      </c>
      <c r="Y42" s="130">
        <f t="shared" si="278"/>
        <v>0</v>
      </c>
      <c r="Z42" s="130">
        <f t="shared" si="279"/>
        <v>0</v>
      </c>
      <c r="AA42" s="213">
        <f t="shared" si="109"/>
        <v>0</v>
      </c>
      <c r="AB42" s="214"/>
      <c r="AC42" s="214"/>
      <c r="AD42" s="214"/>
      <c r="AE42" s="130"/>
      <c r="AF42" s="130"/>
      <c r="AG42" s="130"/>
      <c r="AH42" s="130"/>
      <c r="AI42" s="130"/>
      <c r="AJ42" s="130">
        <f t="shared" si="280"/>
        <v>0</v>
      </c>
      <c r="AK42" s="130">
        <f t="shared" si="281"/>
        <v>0</v>
      </c>
      <c r="AL42" s="130">
        <f t="shared" si="282"/>
        <v>0</v>
      </c>
      <c r="AM42" s="130">
        <f t="shared" si="283"/>
        <v>0</v>
      </c>
      <c r="AN42" s="130">
        <f t="shared" si="284"/>
        <v>0</v>
      </c>
      <c r="AO42" s="130">
        <f t="shared" si="285"/>
        <v>0</v>
      </c>
      <c r="AP42" s="131">
        <f t="shared" si="116"/>
        <v>0</v>
      </c>
      <c r="AQ42" s="131">
        <f t="shared" si="117"/>
        <v>0</v>
      </c>
      <c r="AR42" s="131">
        <f t="shared" si="118"/>
        <v>0</v>
      </c>
      <c r="AS42" s="131">
        <f t="shared" si="119"/>
        <v>0</v>
      </c>
      <c r="AT42" s="130">
        <f t="shared" si="286"/>
        <v>0</v>
      </c>
      <c r="AU42" s="130">
        <f t="shared" si="309"/>
        <v>0</v>
      </c>
      <c r="AV42" s="130">
        <f t="shared" si="310"/>
        <v>0</v>
      </c>
      <c r="AW42" s="130">
        <f t="shared" si="311"/>
        <v>0</v>
      </c>
      <c r="AX42" s="130">
        <f t="shared" si="312"/>
        <v>0</v>
      </c>
      <c r="AY42" s="130">
        <f t="shared" si="287"/>
        <v>0</v>
      </c>
      <c r="AZ42" s="130">
        <f t="shared" si="288"/>
        <v>0</v>
      </c>
      <c r="BA42" s="130">
        <f t="shared" si="289"/>
        <v>0</v>
      </c>
      <c r="BB42" s="130">
        <f t="shared" si="290"/>
        <v>0</v>
      </c>
      <c r="BC42" s="130">
        <f t="shared" si="291"/>
        <v>0</v>
      </c>
      <c r="BD42" s="130">
        <f t="shared" si="292"/>
        <v>0</v>
      </c>
      <c r="BE42" s="130">
        <f t="shared" si="303"/>
        <v>0</v>
      </c>
      <c r="BF42" s="130">
        <f t="shared" si="304"/>
        <v>0</v>
      </c>
      <c r="BG42" s="130">
        <f t="shared" si="305"/>
        <v>0</v>
      </c>
      <c r="BH42" s="130">
        <f t="shared" si="306"/>
        <v>0</v>
      </c>
      <c r="BI42" s="130">
        <f t="shared" si="293"/>
        <v>0</v>
      </c>
      <c r="BJ42" s="130">
        <f t="shared" si="294"/>
        <v>0</v>
      </c>
      <c r="BK42" s="130">
        <f t="shared" si="295"/>
        <v>0</v>
      </c>
      <c r="BL42" s="130">
        <f t="shared" si="296"/>
        <v>0</v>
      </c>
      <c r="BM42" s="130">
        <f t="shared" si="297"/>
        <v>0</v>
      </c>
      <c r="BN42" s="130">
        <f t="shared" si="298"/>
        <v>0</v>
      </c>
      <c r="BO42" s="132">
        <f t="shared" si="299"/>
        <v>0</v>
      </c>
      <c r="BP42" s="215">
        <v>1</v>
      </c>
      <c r="BQ42" s="215">
        <v>12</v>
      </c>
      <c r="BR42" s="215">
        <v>1</v>
      </c>
      <c r="BS42" s="215">
        <v>12</v>
      </c>
      <c r="BT42" s="133">
        <f t="shared" si="300"/>
        <v>41821</v>
      </c>
      <c r="BU42" s="133">
        <f t="shared" si="301"/>
        <v>42186</v>
      </c>
      <c r="BV42" s="134">
        <f>ROUND((1+VLOOKUP(BT42,IF(VLOOKUP(L42,'Расчет инфляции'!$BD$5:$BF$22,3,0)=2,'Расчет инфляции'!$AJ$5:$AK$370,'Расчет инфляции'!$AO$5:$AP$370),2,0))*(1+IF(VLOOKUP(L42,'Расчет инфляции'!$BD$5:$BF$22,3,0)=2,VLOOKUP(H42,'Расчет инфляции'!$BD$25:$BF$52,2,0),VLOOKUP(H42,'Расчет инфляции'!$BD$25:$BF$52,3,0)))-1,4)-IF(VLOOKUP(L42,'Расчет инфляции'!$BD$5:$BF$22,3,0)=2,VLOOKUP(H42,'Расчет инфляции'!$BD$25:$BH$52,4,0),VLOOKUP(H42,'Расчет инфляции'!$BD$25:$BH$52,5,0))</f>
        <v>5.16E-2</v>
      </c>
      <c r="BW42" s="135">
        <f>ROUND((1+VLOOKUP(BU42,IF(VLOOKUP(L42,'Расчет инфляции'!$BD$5:$BF$22,3,0)=2,'Расчет инфляции'!$AL$5:$AM$370,'Расчет инфляции'!$AQ$5:$AR$370),2,0))*(1+IF(VLOOKUP(L42,'Расчет инфляции'!$BD$5:$BF$22,3,0)=2,VLOOKUP(H42,'Расчет инфляции'!$BD$25:$HJ$52,6,0),VLOOKUP(H42,'Расчет инфляции'!$BD$25:$HJ$52,7,0)))*(1+IF(VLOOKUP(L42,'Расчет инфляции'!$BD$5:$BF$22,3,0)=2,VLOOKUP(H42,'Расчет инфляции'!$BD$25:$BF$52,2,0),VLOOKUP(H42,'Расчет инфляции'!$BD$25:$BF$52,3,0)))-1,4)</f>
        <v>0.1052</v>
      </c>
      <c r="BX42" s="132">
        <f t="shared" si="307"/>
        <v>0</v>
      </c>
      <c r="BY42" s="132">
        <f t="shared" si="308"/>
        <v>0</v>
      </c>
      <c r="BZ42" s="215"/>
      <c r="CB42" s="216"/>
      <c r="CC42" s="216"/>
      <c r="CD42" s="216"/>
      <c r="CE42" s="216"/>
      <c r="CF42" s="216"/>
      <c r="CG42" s="216"/>
      <c r="CH42" s="216"/>
      <c r="CI42" s="216"/>
      <c r="CJ42" s="216"/>
      <c r="CK42" s="216"/>
      <c r="CL42" s="216"/>
      <c r="CM42" s="216"/>
      <c r="CN42" s="216"/>
      <c r="CO42" s="216"/>
      <c r="CP42" s="216"/>
      <c r="CQ42" s="216"/>
      <c r="CR42" s="216"/>
      <c r="CS42" s="216"/>
      <c r="CT42" s="216"/>
      <c r="CU42" s="216"/>
      <c r="CV42" s="216"/>
      <c r="CW42" s="216"/>
      <c r="CX42" s="216"/>
      <c r="CY42" s="216"/>
      <c r="CZ42" s="137"/>
      <c r="DA42" s="214"/>
      <c r="DB42" s="214"/>
      <c r="DC42" s="214"/>
      <c r="DD42" s="214">
        <f t="shared" si="146"/>
        <v>0</v>
      </c>
      <c r="DE42" s="138" t="e">
        <f t="shared" si="313"/>
        <v>#DIV/0!</v>
      </c>
      <c r="DF42" s="219" t="e">
        <f t="shared" si="148"/>
        <v>#DIV/0!</v>
      </c>
      <c r="DG42" s="217">
        <v>1</v>
      </c>
      <c r="DH42" s="220">
        <f t="shared" si="302"/>
        <v>100000</v>
      </c>
      <c r="DI42" s="218">
        <v>100000</v>
      </c>
      <c r="DJ42" s="220">
        <f t="shared" si="150"/>
        <v>0</v>
      </c>
      <c r="DK42" s="220" t="b">
        <f t="shared" si="151"/>
        <v>1</v>
      </c>
    </row>
    <row r="43" spans="1:115" s="136" customFormat="1">
      <c r="A43" s="123">
        <f t="shared" si="213"/>
        <v>40</v>
      </c>
      <c r="B43" s="201"/>
      <c r="C43" s="202"/>
      <c r="D43" s="203"/>
      <c r="E43" s="204"/>
      <c r="F43" s="204">
        <v>0.01</v>
      </c>
      <c r="G43" s="205"/>
      <c r="H43" s="141" t="s">
        <v>130</v>
      </c>
      <c r="I43" s="206"/>
      <c r="J43" s="207"/>
      <c r="K43" s="208"/>
      <c r="L43" s="128" t="s">
        <v>134</v>
      </c>
      <c r="M43" s="210"/>
      <c r="N43" s="211"/>
      <c r="O43" s="211"/>
      <c r="P43" s="211"/>
      <c r="Q43" s="211"/>
      <c r="R43" s="211"/>
      <c r="S43" s="129">
        <f t="shared" si="314"/>
        <v>0</v>
      </c>
      <c r="T43" s="211">
        <f t="shared" si="153"/>
        <v>0</v>
      </c>
      <c r="U43" s="211"/>
      <c r="V43" s="211"/>
      <c r="W43" s="211"/>
      <c r="X43" s="129">
        <f t="shared" si="315"/>
        <v>0</v>
      </c>
      <c r="Y43" s="130">
        <f t="shared" si="278"/>
        <v>0</v>
      </c>
      <c r="Z43" s="130">
        <f t="shared" si="279"/>
        <v>0</v>
      </c>
      <c r="AA43" s="213">
        <f t="shared" ref="AA43" si="316">ROUND($F43*SUM(T43:U43,Y43:Z43),0)</f>
        <v>0</v>
      </c>
      <c r="AB43" s="214"/>
      <c r="AC43" s="214"/>
      <c r="AD43" s="214"/>
      <c r="AE43" s="130"/>
      <c r="AF43" s="130"/>
      <c r="AG43" s="130"/>
      <c r="AH43" s="130"/>
      <c r="AI43" s="130"/>
      <c r="AJ43" s="130">
        <f t="shared" si="280"/>
        <v>0</v>
      </c>
      <c r="AK43" s="130">
        <f t="shared" si="281"/>
        <v>0</v>
      </c>
      <c r="AL43" s="130">
        <f t="shared" si="282"/>
        <v>0</v>
      </c>
      <c r="AM43" s="130">
        <f t="shared" si="283"/>
        <v>0</v>
      </c>
      <c r="AN43" s="130">
        <f t="shared" si="284"/>
        <v>0</v>
      </c>
      <c r="AO43" s="130">
        <f t="shared" si="285"/>
        <v>0</v>
      </c>
      <c r="AP43" s="131">
        <f t="shared" si="116"/>
        <v>0</v>
      </c>
      <c r="AQ43" s="131">
        <f t="shared" si="117"/>
        <v>0</v>
      </c>
      <c r="AR43" s="131">
        <f t="shared" si="118"/>
        <v>0</v>
      </c>
      <c r="AS43" s="131">
        <f t="shared" si="119"/>
        <v>0</v>
      </c>
      <c r="AT43" s="130">
        <f t="shared" si="286"/>
        <v>0</v>
      </c>
      <c r="AU43" s="130">
        <f t="shared" si="309"/>
        <v>0</v>
      </c>
      <c r="AV43" s="130">
        <f t="shared" si="310"/>
        <v>0</v>
      </c>
      <c r="AW43" s="130">
        <f t="shared" si="311"/>
        <v>0</v>
      </c>
      <c r="AX43" s="130">
        <f t="shared" si="312"/>
        <v>0</v>
      </c>
      <c r="AY43" s="130">
        <f t="shared" si="287"/>
        <v>0</v>
      </c>
      <c r="AZ43" s="130">
        <f t="shared" si="288"/>
        <v>0</v>
      </c>
      <c r="BA43" s="130">
        <f t="shared" si="289"/>
        <v>0</v>
      </c>
      <c r="BB43" s="130">
        <f t="shared" si="290"/>
        <v>0</v>
      </c>
      <c r="BC43" s="130">
        <f t="shared" si="291"/>
        <v>0</v>
      </c>
      <c r="BD43" s="130">
        <f t="shared" si="292"/>
        <v>0</v>
      </c>
      <c r="BE43" s="130">
        <f t="shared" si="303"/>
        <v>0</v>
      </c>
      <c r="BF43" s="130">
        <f t="shared" si="304"/>
        <v>0</v>
      </c>
      <c r="BG43" s="130">
        <f t="shared" si="305"/>
        <v>0</v>
      </c>
      <c r="BH43" s="130">
        <f t="shared" si="306"/>
        <v>0</v>
      </c>
      <c r="BI43" s="130">
        <f t="shared" si="293"/>
        <v>0</v>
      </c>
      <c r="BJ43" s="130">
        <f t="shared" si="294"/>
        <v>0</v>
      </c>
      <c r="BK43" s="130">
        <f t="shared" si="295"/>
        <v>0</v>
      </c>
      <c r="BL43" s="130">
        <f t="shared" si="296"/>
        <v>0</v>
      </c>
      <c r="BM43" s="130">
        <f t="shared" si="297"/>
        <v>0</v>
      </c>
      <c r="BN43" s="130">
        <f t="shared" si="298"/>
        <v>0</v>
      </c>
      <c r="BO43" s="132">
        <f t="shared" si="299"/>
        <v>0</v>
      </c>
      <c r="BP43" s="215">
        <v>1</v>
      </c>
      <c r="BQ43" s="215">
        <v>12</v>
      </c>
      <c r="BR43" s="215">
        <v>1</v>
      </c>
      <c r="BS43" s="215">
        <v>12</v>
      </c>
      <c r="BT43" s="133">
        <f t="shared" si="300"/>
        <v>41821</v>
      </c>
      <c r="BU43" s="133">
        <f t="shared" si="301"/>
        <v>42186</v>
      </c>
      <c r="BV43" s="134">
        <f>ROUND((1+VLOOKUP(BT43,IF(VLOOKUP(L43,'Расчет инфляции'!$BD$5:$BF$22,3,0)=2,'Расчет инфляции'!$AJ$5:$AK$370,'Расчет инфляции'!$AO$5:$AP$370),2,0))*(1+IF(VLOOKUP(L43,'Расчет инфляции'!$BD$5:$BF$22,3,0)=2,VLOOKUP(H43,'Расчет инфляции'!$BD$25:$BF$52,2,0),VLOOKUP(H43,'Расчет инфляции'!$BD$25:$BF$52,3,0)))-1,4)-IF(VLOOKUP(L43,'Расчет инфляции'!$BD$5:$BF$22,3,0)=2,VLOOKUP(H43,'Расчет инфляции'!$BD$25:$BH$52,4,0),VLOOKUP(H43,'Расчет инфляции'!$BD$25:$BH$52,5,0))</f>
        <v>5.16E-2</v>
      </c>
      <c r="BW43" s="135">
        <f>ROUND((1+VLOOKUP(BU43,IF(VLOOKUP(L43,'Расчет инфляции'!$BD$5:$BF$22,3,0)=2,'Расчет инфляции'!$AL$5:$AM$370,'Расчет инфляции'!$AQ$5:$AR$370),2,0))*(1+IF(VLOOKUP(L43,'Расчет инфляции'!$BD$5:$BF$22,3,0)=2,VLOOKUP(H43,'Расчет инфляции'!$BD$25:$HJ$52,6,0),VLOOKUP(H43,'Расчет инфляции'!$BD$25:$HJ$52,7,0)))*(1+IF(VLOOKUP(L43,'Расчет инфляции'!$BD$5:$BF$22,3,0)=2,VLOOKUP(H43,'Расчет инфляции'!$BD$25:$BF$52,2,0),VLOOKUP(H43,'Расчет инфляции'!$BD$25:$BF$52,3,0)))-1,4)</f>
        <v>0.1052</v>
      </c>
      <c r="BX43" s="132">
        <f t="shared" si="307"/>
        <v>0</v>
      </c>
      <c r="BY43" s="132">
        <f t="shared" si="308"/>
        <v>0</v>
      </c>
      <c r="BZ43" s="215"/>
      <c r="CB43" s="216"/>
      <c r="CC43" s="216"/>
      <c r="CD43" s="216"/>
      <c r="CE43" s="216"/>
      <c r="CF43" s="216"/>
      <c r="CG43" s="216"/>
      <c r="CH43" s="216"/>
      <c r="CI43" s="216"/>
      <c r="CJ43" s="216"/>
      <c r="CK43" s="216"/>
      <c r="CL43" s="216"/>
      <c r="CM43" s="216"/>
      <c r="CN43" s="216"/>
      <c r="CO43" s="216"/>
      <c r="CP43" s="216"/>
      <c r="CQ43" s="216"/>
      <c r="CR43" s="216"/>
      <c r="CS43" s="216"/>
      <c r="CT43" s="216"/>
      <c r="CU43" s="216"/>
      <c r="CV43" s="216"/>
      <c r="CW43" s="216"/>
      <c r="CX43" s="216"/>
      <c r="CY43" s="216"/>
      <c r="CZ43" s="137"/>
      <c r="DA43" s="214"/>
      <c r="DB43" s="214"/>
      <c r="DC43" s="214"/>
      <c r="DD43" s="214">
        <f t="shared" si="146"/>
        <v>0</v>
      </c>
      <c r="DE43" s="138" t="e">
        <f t="shared" si="313"/>
        <v>#DIV/0!</v>
      </c>
      <c r="DF43" s="219" t="e">
        <f t="shared" si="148"/>
        <v>#DIV/0!</v>
      </c>
      <c r="DG43" s="217">
        <v>1</v>
      </c>
      <c r="DH43" s="220">
        <f t="shared" si="302"/>
        <v>100000</v>
      </c>
      <c r="DI43" s="218">
        <v>100000</v>
      </c>
      <c r="DJ43" s="220">
        <f t="shared" si="150"/>
        <v>0</v>
      </c>
      <c r="DK43" s="220" t="b">
        <f t="shared" si="151"/>
        <v>1</v>
      </c>
    </row>
    <row r="44" spans="1:115" s="136" customFormat="1" ht="22.5">
      <c r="A44" s="123">
        <v>41</v>
      </c>
      <c r="B44" s="124"/>
      <c r="C44" s="124"/>
      <c r="D44" s="125"/>
      <c r="E44" s="139"/>
      <c r="F44" s="139"/>
      <c r="G44" s="140"/>
      <c r="H44" s="141" t="s">
        <v>130</v>
      </c>
      <c r="I44" s="126"/>
      <c r="J44" s="127"/>
      <c r="K44" s="142"/>
      <c r="L44" s="128"/>
      <c r="M44" s="210" t="s">
        <v>264</v>
      </c>
      <c r="N44" s="130">
        <f t="shared" ref="N44:AX44" si="317">SUBTOTAL(9,N4:N43)</f>
        <v>76998</v>
      </c>
      <c r="O44" s="130">
        <f t="shared" si="317"/>
        <v>67099</v>
      </c>
      <c r="P44" s="130">
        <f t="shared" si="317"/>
        <v>923887</v>
      </c>
      <c r="Q44" s="130">
        <f t="shared" si="317"/>
        <v>80877</v>
      </c>
      <c r="R44" s="130">
        <f t="shared" si="317"/>
        <v>43718</v>
      </c>
      <c r="S44" s="129">
        <f t="shared" si="317"/>
        <v>1192579</v>
      </c>
      <c r="T44" s="130">
        <f t="shared" si="317"/>
        <v>1192579</v>
      </c>
      <c r="U44" s="130">
        <f t="shared" si="317"/>
        <v>0</v>
      </c>
      <c r="V44" s="130">
        <f t="shared" si="317"/>
        <v>0</v>
      </c>
      <c r="W44" s="130">
        <f t="shared" si="317"/>
        <v>0</v>
      </c>
      <c r="X44" s="129">
        <f t="shared" si="317"/>
        <v>1192579</v>
      </c>
      <c r="Y44" s="130">
        <f t="shared" si="317"/>
        <v>0</v>
      </c>
      <c r="Z44" s="130">
        <f t="shared" si="317"/>
        <v>0</v>
      </c>
      <c r="AA44" s="130">
        <f t="shared" si="317"/>
        <v>11926</v>
      </c>
      <c r="AB44" s="130">
        <f t="shared" si="317"/>
        <v>0</v>
      </c>
      <c r="AC44" s="130">
        <f t="shared" si="317"/>
        <v>0</v>
      </c>
      <c r="AD44" s="130">
        <f t="shared" si="317"/>
        <v>0</v>
      </c>
      <c r="AE44" s="130">
        <f t="shared" si="317"/>
        <v>0</v>
      </c>
      <c r="AF44" s="130">
        <f t="shared" si="317"/>
        <v>0</v>
      </c>
      <c r="AG44" s="130">
        <f t="shared" si="317"/>
        <v>0</v>
      </c>
      <c r="AH44" s="130">
        <f t="shared" si="317"/>
        <v>0</v>
      </c>
      <c r="AI44" s="130">
        <f t="shared" si="317"/>
        <v>0</v>
      </c>
      <c r="AJ44" s="130">
        <f t="shared" si="317"/>
        <v>0</v>
      </c>
      <c r="AK44" s="130">
        <f t="shared" si="317"/>
        <v>1192579</v>
      </c>
      <c r="AL44" s="130">
        <f t="shared" si="317"/>
        <v>0</v>
      </c>
      <c r="AM44" s="130">
        <f t="shared" si="317"/>
        <v>0</v>
      </c>
      <c r="AN44" s="130">
        <f t="shared" si="317"/>
        <v>11926</v>
      </c>
      <c r="AO44" s="130">
        <f t="shared" si="317"/>
        <v>1204505</v>
      </c>
      <c r="AP44" s="130">
        <f t="shared" si="317"/>
        <v>1192579</v>
      </c>
      <c r="AQ44" s="130">
        <f t="shared" si="317"/>
        <v>0</v>
      </c>
      <c r="AR44" s="130">
        <f t="shared" si="317"/>
        <v>0</v>
      </c>
      <c r="AS44" s="130">
        <f t="shared" si="317"/>
        <v>11926</v>
      </c>
      <c r="AT44" s="130">
        <f t="shared" si="317"/>
        <v>1204505</v>
      </c>
      <c r="AU44" s="130">
        <f t="shared" si="317"/>
        <v>82288</v>
      </c>
      <c r="AV44" s="130">
        <f t="shared" si="317"/>
        <v>0</v>
      </c>
      <c r="AW44" s="130">
        <f t="shared" si="317"/>
        <v>0</v>
      </c>
      <c r="AX44" s="130">
        <f t="shared" si="317"/>
        <v>822</v>
      </c>
      <c r="AY44" s="130">
        <f t="shared" ref="AY44:BO44" si="318">SUMIF(AY4:AY43,"&lt;&gt;#Н/Д")</f>
        <v>83110</v>
      </c>
      <c r="AZ44" s="130">
        <f t="shared" si="318"/>
        <v>229476</v>
      </c>
      <c r="BA44" s="130">
        <f t="shared" si="318"/>
        <v>0</v>
      </c>
      <c r="BB44" s="130">
        <f t="shared" si="318"/>
        <v>0</v>
      </c>
      <c r="BC44" s="130">
        <f t="shared" si="318"/>
        <v>2295</v>
      </c>
      <c r="BD44" s="130">
        <f t="shared" si="318"/>
        <v>231771</v>
      </c>
      <c r="BE44" s="130">
        <f t="shared" si="318"/>
        <v>0</v>
      </c>
      <c r="BF44" s="130">
        <f t="shared" si="318"/>
        <v>0</v>
      </c>
      <c r="BG44" s="130">
        <f t="shared" si="318"/>
        <v>0</v>
      </c>
      <c r="BH44" s="130">
        <f t="shared" si="318"/>
        <v>0</v>
      </c>
      <c r="BI44" s="130">
        <f t="shared" si="318"/>
        <v>0</v>
      </c>
      <c r="BJ44" s="130">
        <f t="shared" si="318"/>
        <v>0</v>
      </c>
      <c r="BK44" s="130">
        <f t="shared" si="318"/>
        <v>0</v>
      </c>
      <c r="BL44" s="130">
        <f t="shared" si="318"/>
        <v>0</v>
      </c>
      <c r="BM44" s="130">
        <f t="shared" si="318"/>
        <v>0</v>
      </c>
      <c r="BN44" s="130">
        <f t="shared" si="318"/>
        <v>0</v>
      </c>
      <c r="BO44" s="130">
        <f t="shared" si="318"/>
        <v>1519386</v>
      </c>
      <c r="BP44" s="143">
        <f>MIN(BP4:BP43)</f>
        <v>1</v>
      </c>
      <c r="BQ44" s="143">
        <f>MAX(BQ4:BQ43)</f>
        <v>12</v>
      </c>
      <c r="BR44" s="143">
        <f>MIN(BR4:BR43)</f>
        <v>1</v>
      </c>
      <c r="BS44" s="143">
        <f>MAX(BS4:BS43)</f>
        <v>12</v>
      </c>
      <c r="BT44" s="133">
        <f>SUBTOTAL(9,BT4:BT43)</f>
        <v>1673141</v>
      </c>
      <c r="BU44" s="133">
        <f>SUBTOTAL(9,BU4:BU43)</f>
        <v>1687440</v>
      </c>
      <c r="BV44" s="134"/>
      <c r="BW44" s="135"/>
      <c r="BX44" s="130">
        <f>SUMIF(BX4:BX43,"&lt;&gt;#Н/Д")</f>
        <v>1519386</v>
      </c>
      <c r="BY44" s="130">
        <f>SUMIF(BY4:BY43,"&lt;&gt;#Н/Д")</f>
        <v>0</v>
      </c>
      <c r="BZ44" s="154">
        <f>SUMIF(BZ4:BZ43,"&lt;&gt;#Н/Д")</f>
        <v>0.38700000000000001</v>
      </c>
      <c r="CB44" s="154">
        <f>SUMIF(CB4:CB43,"&lt;&gt;#Н/Д")</f>
        <v>22.026899999999998</v>
      </c>
      <c r="CC44" s="154">
        <f>SUMIF(CC4:CC43,"&lt;&gt;#Н/Д")</f>
        <v>189.91030000000001</v>
      </c>
      <c r="CD44" s="154">
        <f t="shared" ref="CD44:CX44" si="319">SUMIF(CD4:CD43,"&lt;&gt;#Н/Д")</f>
        <v>0</v>
      </c>
      <c r="CE44" s="154">
        <f t="shared" si="319"/>
        <v>15.9666</v>
      </c>
      <c r="CF44" s="154">
        <f t="shared" si="319"/>
        <v>0</v>
      </c>
      <c r="CG44" s="154">
        <f t="shared" si="319"/>
        <v>0</v>
      </c>
      <c r="CH44" s="154">
        <f t="shared" si="319"/>
        <v>0</v>
      </c>
      <c r="CI44" s="154">
        <f t="shared" si="319"/>
        <v>0</v>
      </c>
      <c r="CJ44" s="154">
        <f t="shared" si="319"/>
        <v>0</v>
      </c>
      <c r="CK44" s="154">
        <f t="shared" si="319"/>
        <v>0.73017900000000002</v>
      </c>
      <c r="CL44" s="154">
        <f t="shared" si="319"/>
        <v>0.12957000000000002</v>
      </c>
      <c r="CM44" s="154">
        <f t="shared" si="319"/>
        <v>0</v>
      </c>
      <c r="CN44" s="154">
        <f t="shared" si="319"/>
        <v>0</v>
      </c>
      <c r="CO44" s="154">
        <f t="shared" si="319"/>
        <v>58.367600000000003</v>
      </c>
      <c r="CP44" s="154">
        <f t="shared" si="319"/>
        <v>0</v>
      </c>
      <c r="CQ44" s="154">
        <f t="shared" si="319"/>
        <v>0</v>
      </c>
      <c r="CR44" s="154">
        <f t="shared" si="319"/>
        <v>0</v>
      </c>
      <c r="CS44" s="154">
        <f t="shared" si="319"/>
        <v>0</v>
      </c>
      <c r="CT44" s="154">
        <f t="shared" si="319"/>
        <v>0</v>
      </c>
      <c r="CU44" s="154">
        <f t="shared" si="319"/>
        <v>0</v>
      </c>
      <c r="CV44" s="154">
        <f t="shared" si="319"/>
        <v>0</v>
      </c>
      <c r="CW44" s="154">
        <f t="shared" si="319"/>
        <v>0</v>
      </c>
      <c r="CX44" s="154">
        <f t="shared" si="319"/>
        <v>0</v>
      </c>
      <c r="CY44" s="154">
        <f>SUMIF(CY4:CY43,"&lt;&gt;#Н/Д")</f>
        <v>0</v>
      </c>
      <c r="CZ44" s="146"/>
      <c r="DE44" s="138"/>
      <c r="DF44" s="138"/>
      <c r="DG44" s="138"/>
      <c r="DH44" s="138"/>
      <c r="DI44" s="138"/>
      <c r="DJ44" s="138"/>
      <c r="DK44" s="138"/>
    </row>
    <row r="45" spans="1:115" s="136" customFormat="1" ht="12.75" customHeight="1">
      <c r="A45" s="147"/>
      <c r="B45" s="148"/>
      <c r="C45" s="148"/>
      <c r="D45" s="148"/>
      <c r="E45" s="148"/>
      <c r="F45" s="148"/>
      <c r="G45" s="148"/>
      <c r="H45" s="149"/>
      <c r="I45" s="150"/>
      <c r="J45" s="150"/>
      <c r="K45" s="151"/>
      <c r="L45" s="152"/>
      <c r="M45" s="153" t="s">
        <v>18</v>
      </c>
      <c r="N45" s="154"/>
      <c r="O45" s="155"/>
      <c r="P45" s="155"/>
      <c r="Q45" s="155"/>
      <c r="R45" s="155"/>
      <c r="S45" s="156"/>
      <c r="T45" s="156"/>
      <c r="U45" s="156"/>
      <c r="V45" s="155"/>
      <c r="W45" s="155"/>
      <c r="X45" s="155"/>
      <c r="Y45" s="155"/>
      <c r="Z45" s="155"/>
      <c r="AA45" s="144"/>
      <c r="AB45" s="144"/>
      <c r="AC45" s="144"/>
      <c r="AD45" s="144"/>
      <c r="AE45" s="154"/>
      <c r="AF45" s="154"/>
      <c r="AG45" s="154"/>
      <c r="AH45" s="154"/>
      <c r="AI45" s="154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4"/>
      <c r="AZ45" s="154"/>
      <c r="BA45" s="154"/>
      <c r="BB45" s="154"/>
      <c r="BC45" s="154"/>
      <c r="BD45" s="154"/>
      <c r="BE45" s="156"/>
      <c r="BF45" s="156"/>
      <c r="BG45" s="156"/>
      <c r="BH45" s="156"/>
      <c r="BI45" s="154"/>
      <c r="BJ45" s="154"/>
      <c r="BK45" s="154"/>
      <c r="BL45" s="154"/>
      <c r="BM45" s="154"/>
      <c r="BN45" s="154"/>
      <c r="BO45" s="157"/>
      <c r="BP45" s="158"/>
      <c r="BQ45" s="158"/>
      <c r="BR45" s="158"/>
      <c r="BS45" s="158"/>
      <c r="BT45" s="159"/>
      <c r="BU45" s="159"/>
      <c r="BV45" s="160"/>
      <c r="BW45" s="160"/>
      <c r="BX45" s="157"/>
      <c r="BY45" s="157"/>
      <c r="BZ45" s="157"/>
      <c r="CB45" s="144"/>
      <c r="CC45" s="144"/>
      <c r="CD45" s="144"/>
      <c r="CE45" s="144"/>
      <c r="CF45" s="144"/>
      <c r="CG45" s="144"/>
      <c r="CH45" s="144"/>
      <c r="CI45" s="144"/>
      <c r="CJ45" s="144"/>
      <c r="CK45" s="145"/>
      <c r="CL45" s="145"/>
      <c r="CM45" s="145"/>
      <c r="CN45" s="145"/>
      <c r="CO45" s="145"/>
      <c r="CP45" s="145"/>
      <c r="CQ45" s="145"/>
      <c r="CR45" s="145"/>
      <c r="CS45" s="145"/>
      <c r="CT45" s="145"/>
      <c r="CU45" s="145"/>
      <c r="CV45" s="145"/>
      <c r="CW45" s="144"/>
      <c r="CX45" s="144"/>
      <c r="CY45" s="144"/>
      <c r="CZ45" s="144"/>
      <c r="DE45" s="138"/>
      <c r="DF45" s="138"/>
      <c r="DG45" s="138"/>
      <c r="DH45" s="138"/>
      <c r="DI45" s="138"/>
      <c r="DJ45" s="138"/>
      <c r="DK45" s="138"/>
    </row>
    <row r="46" spans="1:115" s="136" customFormat="1">
      <c r="A46" s="147"/>
      <c r="B46" s="148"/>
      <c r="C46" s="148"/>
      <c r="D46" s="148"/>
      <c r="E46" s="148"/>
      <c r="F46" s="148"/>
      <c r="G46" s="148"/>
      <c r="H46" s="149"/>
      <c r="I46" s="150"/>
      <c r="J46" s="150"/>
      <c r="K46" s="151"/>
      <c r="L46" s="152"/>
      <c r="M46" s="153"/>
      <c r="N46" s="154"/>
      <c r="O46" s="90"/>
      <c r="P46" s="90"/>
      <c r="Q46" s="90"/>
      <c r="R46" s="90"/>
      <c r="S46" s="161"/>
      <c r="T46" s="161"/>
      <c r="U46" s="161"/>
      <c r="V46" s="90"/>
      <c r="W46" s="90"/>
      <c r="X46" s="90"/>
      <c r="Y46" s="90"/>
      <c r="Z46" s="90"/>
      <c r="AA46" s="162"/>
      <c r="AB46" s="162"/>
      <c r="AC46" s="162"/>
      <c r="AD46" s="162"/>
      <c r="AE46" s="163"/>
      <c r="AF46" s="163"/>
      <c r="AG46" s="163"/>
      <c r="AH46" s="163"/>
      <c r="AI46" s="163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154"/>
      <c r="AZ46" s="154"/>
      <c r="BA46" s="154"/>
      <c r="BB46" s="154"/>
      <c r="BC46" s="154"/>
      <c r="BD46" s="154"/>
      <c r="BE46" s="90"/>
      <c r="BF46" s="90"/>
      <c r="BG46" s="90"/>
      <c r="BH46" s="90"/>
      <c r="BI46" s="154"/>
      <c r="BJ46" s="154"/>
      <c r="BK46" s="154"/>
      <c r="BL46" s="154"/>
      <c r="BM46" s="154"/>
      <c r="BN46" s="154"/>
      <c r="BO46" s="157"/>
      <c r="BP46" s="164"/>
      <c r="BQ46" s="164"/>
      <c r="BR46" s="164"/>
      <c r="BS46" s="164"/>
      <c r="BT46" s="159"/>
      <c r="BU46" s="159"/>
      <c r="BV46" s="160"/>
      <c r="BW46" s="160"/>
      <c r="BX46" s="157"/>
      <c r="BY46" s="157"/>
      <c r="BZ46" s="157"/>
      <c r="CB46" s="144"/>
      <c r="CC46" s="144"/>
      <c r="CD46" s="144"/>
      <c r="CE46" s="144"/>
      <c r="CF46" s="144"/>
      <c r="CG46" s="144"/>
      <c r="CH46" s="144"/>
      <c r="CI46" s="144"/>
      <c r="CJ46" s="144"/>
      <c r="CW46" s="144"/>
      <c r="CX46" s="144"/>
      <c r="CY46" s="144"/>
      <c r="CZ46" s="144"/>
      <c r="DE46" s="138"/>
      <c r="DF46" s="138"/>
      <c r="DG46" s="138"/>
      <c r="DH46" s="138"/>
      <c r="DI46" s="138"/>
      <c r="DJ46" s="138"/>
      <c r="DK46" s="138"/>
    </row>
    <row r="47" spans="1:115" s="136" customFormat="1">
      <c r="A47" s="147"/>
      <c r="B47" s="148"/>
      <c r="C47" s="148"/>
      <c r="D47" s="148"/>
      <c r="E47" s="148"/>
      <c r="F47" s="148"/>
      <c r="G47" s="148"/>
      <c r="H47" s="149"/>
      <c r="I47" s="150"/>
      <c r="J47" s="150"/>
      <c r="K47" s="151"/>
      <c r="L47" s="152"/>
      <c r="M47" s="153"/>
      <c r="N47" s="154"/>
      <c r="O47" s="90"/>
      <c r="P47" s="90"/>
      <c r="Q47" s="90"/>
      <c r="R47" s="90"/>
      <c r="S47" s="161"/>
      <c r="T47" s="161"/>
      <c r="U47" s="161"/>
      <c r="V47" s="90"/>
      <c r="W47" s="90"/>
      <c r="X47" s="90"/>
      <c r="Y47" s="162"/>
      <c r="Z47" s="162"/>
      <c r="AA47" s="162"/>
      <c r="AB47" s="162"/>
      <c r="AC47" s="162"/>
      <c r="AD47" s="162"/>
      <c r="AE47" s="154"/>
      <c r="AF47" s="154"/>
      <c r="AG47" s="154"/>
      <c r="AH47" s="154"/>
      <c r="AI47" s="154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54"/>
      <c r="AZ47" s="154"/>
      <c r="BA47" s="154"/>
      <c r="BB47" s="154"/>
      <c r="BC47" s="154"/>
      <c r="BD47" s="154"/>
      <c r="BE47" s="162"/>
      <c r="BF47" s="162"/>
      <c r="BG47" s="162"/>
      <c r="BH47" s="162"/>
      <c r="BI47" s="154"/>
      <c r="BJ47" s="154"/>
      <c r="BK47" s="154"/>
      <c r="BL47" s="154"/>
      <c r="BM47" s="154"/>
      <c r="BN47" s="154"/>
      <c r="BO47" s="157"/>
      <c r="BP47" s="164"/>
      <c r="BQ47" s="164"/>
      <c r="BR47" s="164"/>
      <c r="BS47" s="164"/>
      <c r="BT47" s="159"/>
      <c r="BU47" s="159"/>
      <c r="BV47" s="160"/>
      <c r="BW47" s="160"/>
      <c r="BX47" s="157"/>
      <c r="BY47" s="157"/>
      <c r="BZ47" s="157"/>
      <c r="CB47" s="144"/>
      <c r="CC47" s="144"/>
      <c r="CD47" s="144"/>
      <c r="CE47" s="144"/>
      <c r="CF47" s="144"/>
      <c r="CG47" s="144"/>
      <c r="CH47" s="144"/>
      <c r="CI47" s="144"/>
      <c r="CJ47" s="144"/>
      <c r="CW47" s="144"/>
      <c r="CX47" s="144"/>
      <c r="CY47" s="144"/>
      <c r="CZ47" s="144"/>
      <c r="DA47" s="165"/>
      <c r="DB47" s="165"/>
      <c r="DE47" s="138"/>
      <c r="DF47" s="138"/>
      <c r="DG47" s="138"/>
      <c r="DH47" s="138"/>
      <c r="DI47" s="138"/>
      <c r="DJ47" s="138"/>
      <c r="DK47" s="138"/>
    </row>
    <row r="48" spans="1:115" s="136" customFormat="1">
      <c r="A48" s="147"/>
      <c r="B48" s="148"/>
      <c r="C48" s="148"/>
      <c r="D48" s="148"/>
      <c r="E48" s="148"/>
      <c r="F48" s="148"/>
      <c r="G48" s="148"/>
      <c r="H48" s="190"/>
      <c r="I48" s="150"/>
      <c r="J48" s="150"/>
      <c r="K48" s="151"/>
      <c r="L48" s="152"/>
      <c r="M48" s="153"/>
      <c r="N48" s="88"/>
      <c r="O48" s="89"/>
      <c r="P48" s="90"/>
      <c r="Q48" s="155"/>
      <c r="R48" s="155"/>
      <c r="S48" s="156"/>
      <c r="T48" s="156"/>
      <c r="U48" s="156"/>
      <c r="V48" s="155"/>
      <c r="W48" s="155"/>
      <c r="X48" s="155"/>
      <c r="Y48" s="144"/>
      <c r="Z48" s="144"/>
      <c r="AA48" s="144"/>
      <c r="AB48" s="144"/>
      <c r="AC48" s="144"/>
      <c r="AD48" s="144"/>
      <c r="AE48" s="154"/>
      <c r="AF48" s="154"/>
      <c r="AG48" s="154"/>
      <c r="AH48" s="154"/>
      <c r="AI48" s="154"/>
      <c r="AJ48" s="144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4"/>
      <c r="AZ48" s="154"/>
      <c r="BA48" s="154"/>
      <c r="BB48" s="154"/>
      <c r="BC48" s="154"/>
      <c r="BD48" s="154"/>
      <c r="BE48" s="155"/>
      <c r="BF48" s="155"/>
      <c r="BG48" s="155"/>
      <c r="BH48" s="155"/>
      <c r="BI48" s="154"/>
      <c r="BJ48" s="154"/>
      <c r="BK48" s="154"/>
      <c r="BL48" s="154"/>
      <c r="BM48" s="154"/>
      <c r="BN48" s="154"/>
      <c r="BO48" s="157"/>
      <c r="BP48" s="158"/>
      <c r="BQ48" s="158"/>
      <c r="BR48" s="158"/>
      <c r="BS48" s="158"/>
      <c r="BT48" s="159"/>
      <c r="BU48" s="159"/>
      <c r="BV48" s="160"/>
      <c r="BW48" s="160"/>
      <c r="BX48" s="157"/>
      <c r="BY48" s="157"/>
      <c r="BZ48" s="157"/>
      <c r="CA48" s="145"/>
      <c r="CB48" s="144"/>
      <c r="CC48" s="144"/>
      <c r="CD48" s="144"/>
      <c r="CE48" s="144"/>
      <c r="CF48" s="144"/>
      <c r="CG48" s="144"/>
      <c r="CH48" s="144"/>
      <c r="CI48" s="144"/>
      <c r="CJ48" s="144"/>
      <c r="CK48" s="145"/>
      <c r="CL48" s="145"/>
      <c r="CM48" s="145"/>
      <c r="CN48" s="145"/>
      <c r="CO48" s="145"/>
      <c r="CP48" s="145"/>
      <c r="CQ48" s="145"/>
      <c r="CR48" s="145"/>
      <c r="CS48" s="145"/>
      <c r="CT48" s="145"/>
      <c r="CU48" s="145"/>
      <c r="CV48" s="145"/>
      <c r="CW48" s="145"/>
      <c r="CX48" s="145"/>
      <c r="CY48" s="145"/>
      <c r="CZ48" s="146"/>
      <c r="DE48" s="138"/>
      <c r="DF48" s="166"/>
      <c r="DG48" s="138"/>
      <c r="DH48" s="138"/>
      <c r="DI48" s="138"/>
      <c r="DJ48" s="138"/>
      <c r="DK48" s="138"/>
    </row>
    <row r="49" spans="1:115" s="136" customFormat="1" ht="22.5">
      <c r="A49" s="138"/>
      <c r="B49" s="138" t="s">
        <v>18</v>
      </c>
      <c r="C49" s="138"/>
      <c r="D49" s="138"/>
      <c r="E49" s="138"/>
      <c r="F49" s="138"/>
      <c r="G49" s="138"/>
      <c r="H49" s="190"/>
      <c r="I49" s="167"/>
      <c r="J49" s="167"/>
      <c r="K49" s="168"/>
      <c r="L49" s="168"/>
      <c r="M49" s="212" t="s">
        <v>255</v>
      </c>
      <c r="N49" s="88"/>
      <c r="O49" s="89" t="s">
        <v>227</v>
      </c>
      <c r="P49" s="90"/>
      <c r="Q49" s="155"/>
      <c r="R49" s="155"/>
      <c r="S49" s="156"/>
      <c r="T49" s="156"/>
      <c r="U49" s="156"/>
      <c r="V49" s="155"/>
      <c r="W49" s="155"/>
      <c r="X49" s="155"/>
      <c r="Y49" s="155"/>
      <c r="Z49" s="155"/>
      <c r="AA49" s="144"/>
      <c r="AB49" s="144"/>
      <c r="AC49" s="144"/>
      <c r="AD49" s="144"/>
      <c r="AE49" s="155"/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44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155"/>
      <c r="BO49" s="169"/>
      <c r="BP49" s="158"/>
      <c r="BQ49" s="158"/>
      <c r="BR49" s="158"/>
      <c r="BS49" s="158"/>
      <c r="BT49" s="167"/>
      <c r="BU49" s="167"/>
      <c r="BV49" s="170"/>
      <c r="BW49" s="167"/>
      <c r="BX49" s="167"/>
      <c r="BY49" s="167"/>
      <c r="BZ49" s="167"/>
      <c r="CA49" s="145"/>
      <c r="CB49" s="145"/>
      <c r="CC49" s="145"/>
      <c r="CD49" s="145"/>
      <c r="CE49" s="145"/>
      <c r="CF49" s="145"/>
      <c r="CG49" s="145"/>
      <c r="CH49" s="145"/>
      <c r="CI49" s="145"/>
      <c r="CJ49" s="145"/>
      <c r="CK49" s="145"/>
      <c r="CL49" s="145"/>
      <c r="CM49" s="145"/>
      <c r="CN49" s="145"/>
      <c r="CO49" s="145"/>
      <c r="CP49" s="145"/>
      <c r="CQ49" s="145"/>
      <c r="CR49" s="145"/>
      <c r="CS49" s="145"/>
      <c r="CT49" s="145"/>
      <c r="CU49" s="145"/>
      <c r="CV49" s="145"/>
      <c r="CW49" s="145"/>
      <c r="CX49" s="145"/>
      <c r="CY49" s="145"/>
      <c r="CZ49" s="146"/>
      <c r="DE49" s="138"/>
      <c r="DF49" s="138"/>
      <c r="DG49" s="138"/>
      <c r="DH49" s="138"/>
      <c r="DI49" s="138"/>
      <c r="DJ49" s="138"/>
      <c r="DK49" s="138"/>
    </row>
    <row r="50" spans="1:115" s="136" customFormat="1">
      <c r="A50" s="138"/>
      <c r="B50" s="171" t="s">
        <v>18</v>
      </c>
      <c r="C50" s="171"/>
      <c r="D50" s="171"/>
      <c r="E50" s="171"/>
      <c r="F50" s="171"/>
      <c r="G50" s="171"/>
      <c r="H50" s="190"/>
      <c r="I50" s="167"/>
      <c r="J50" s="167"/>
      <c r="K50" s="167"/>
      <c r="L50" s="167"/>
      <c r="M50" s="212" t="s">
        <v>257</v>
      </c>
      <c r="N50" s="88"/>
      <c r="O50" s="89" t="s">
        <v>228</v>
      </c>
      <c r="P50" s="90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2"/>
      <c r="AZ50" s="172"/>
      <c r="BA50" s="172"/>
      <c r="BB50" s="172"/>
      <c r="BC50" s="172"/>
      <c r="BD50" s="172"/>
      <c r="BE50" s="173"/>
      <c r="BF50" s="173"/>
      <c r="BG50" s="173"/>
      <c r="BH50" s="173"/>
      <c r="BI50" s="172"/>
      <c r="BJ50" s="172"/>
      <c r="BK50" s="172"/>
      <c r="BL50" s="172"/>
      <c r="BM50" s="172"/>
      <c r="BN50" s="172"/>
      <c r="BO50" s="174"/>
      <c r="BP50" s="158"/>
      <c r="BQ50" s="158"/>
      <c r="BR50" s="158"/>
      <c r="BS50" s="158"/>
      <c r="BT50" s="167"/>
      <c r="BU50" s="167"/>
      <c r="BV50" s="167"/>
      <c r="BW50" s="167"/>
      <c r="BX50" s="167"/>
      <c r="BY50" s="167"/>
      <c r="BZ50" s="167"/>
      <c r="CA50" s="145"/>
      <c r="CB50" s="145"/>
      <c r="CC50" s="145"/>
      <c r="CD50" s="145"/>
      <c r="CE50" s="145"/>
      <c r="CF50" s="145"/>
      <c r="CG50" s="145"/>
      <c r="CH50" s="145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5"/>
      <c r="CX50" s="145"/>
      <c r="CY50" s="145"/>
      <c r="CZ50" s="146"/>
      <c r="DE50" s="138"/>
      <c r="DF50" s="138"/>
      <c r="DG50" s="138"/>
      <c r="DH50" s="138"/>
      <c r="DI50" s="138"/>
      <c r="DJ50" s="138"/>
      <c r="DK50" s="138"/>
    </row>
    <row r="51" spans="1:115" s="136" customFormat="1">
      <c r="A51" s="138"/>
      <c r="B51" s="171" t="s">
        <v>18</v>
      </c>
      <c r="C51" s="171"/>
      <c r="D51" s="171"/>
      <c r="E51" s="171"/>
      <c r="F51" s="171"/>
      <c r="G51" s="171"/>
      <c r="H51" s="190"/>
      <c r="I51" s="175"/>
      <c r="J51" s="175"/>
      <c r="K51" s="176"/>
      <c r="L51" s="177"/>
      <c r="M51" s="178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  <c r="BI51" s="176"/>
      <c r="BJ51" s="176"/>
      <c r="BK51" s="176"/>
      <c r="BL51" s="176"/>
      <c r="BM51" s="176"/>
      <c r="BN51" s="176"/>
      <c r="BO51" s="157"/>
      <c r="BP51" s="179"/>
      <c r="BQ51" s="179"/>
      <c r="BR51" s="179"/>
      <c r="BS51" s="179"/>
      <c r="BT51" s="159"/>
      <c r="BU51" s="167"/>
      <c r="BV51" s="160"/>
      <c r="BW51" s="167"/>
      <c r="BX51" s="157"/>
      <c r="BY51" s="167"/>
      <c r="BZ51" s="167"/>
      <c r="CA51" s="145"/>
      <c r="CB51" s="144"/>
      <c r="CC51" s="144"/>
      <c r="CD51" s="144"/>
      <c r="CE51" s="144"/>
      <c r="CF51" s="144"/>
      <c r="CG51" s="144"/>
      <c r="CH51" s="144"/>
      <c r="CI51" s="144"/>
      <c r="CJ51" s="144"/>
      <c r="CK51" s="144"/>
      <c r="CL51" s="144"/>
      <c r="CM51" s="144"/>
      <c r="CN51" s="144"/>
      <c r="CO51" s="144"/>
      <c r="CP51" s="144"/>
      <c r="CQ51" s="144"/>
      <c r="CR51" s="144"/>
      <c r="CS51" s="144"/>
      <c r="CT51" s="144"/>
      <c r="CU51" s="144"/>
      <c r="CV51" s="144"/>
      <c r="CW51" s="144"/>
      <c r="CX51" s="144"/>
      <c r="CY51" s="144"/>
      <c r="CZ51" s="144"/>
      <c r="DE51" s="138"/>
      <c r="DF51" s="138"/>
      <c r="DG51" s="138"/>
      <c r="DH51" s="138"/>
      <c r="DI51" s="138"/>
      <c r="DJ51" s="138"/>
      <c r="DK51" s="138"/>
    </row>
    <row r="52" spans="1:115" ht="22.5">
      <c r="A52" s="180" t="s">
        <v>18</v>
      </c>
      <c r="I52" s="113"/>
      <c r="J52" s="113"/>
      <c r="K52" s="113"/>
      <c r="L52" s="181"/>
      <c r="M52" s="212" t="s">
        <v>262</v>
      </c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2"/>
      <c r="AZ52" s="182"/>
      <c r="BA52" s="182"/>
      <c r="BB52" s="182"/>
      <c r="BC52" s="182"/>
      <c r="BD52" s="182"/>
      <c r="BE52" s="183"/>
      <c r="BF52" s="183"/>
      <c r="BG52" s="183"/>
      <c r="BH52" s="183"/>
      <c r="BI52" s="182"/>
      <c r="BJ52" s="182"/>
      <c r="BK52" s="182"/>
      <c r="BL52" s="182"/>
      <c r="BM52" s="182"/>
      <c r="BN52" s="182"/>
      <c r="BO52" s="184"/>
      <c r="BP52" s="185"/>
      <c r="BQ52" s="185"/>
      <c r="BR52" s="185"/>
      <c r="BS52" s="185"/>
      <c r="BT52" s="113"/>
      <c r="BU52" s="113"/>
      <c r="BV52" s="113"/>
      <c r="BW52" s="113"/>
      <c r="BX52" s="113"/>
      <c r="BY52" s="167"/>
      <c r="BZ52" s="167"/>
      <c r="CA52" s="111"/>
      <c r="CB52" s="111"/>
      <c r="CC52" s="111"/>
      <c r="CD52" s="111"/>
      <c r="CE52" s="111"/>
      <c r="CF52" s="111"/>
      <c r="CG52" s="111"/>
      <c r="CH52" s="111"/>
      <c r="CI52" s="111"/>
      <c r="CJ52" s="111"/>
      <c r="CK52" s="111"/>
      <c r="CL52" s="111"/>
      <c r="CM52" s="111"/>
      <c r="CN52" s="111"/>
      <c r="CO52" s="111"/>
      <c r="CP52" s="111"/>
      <c r="CQ52" s="111"/>
      <c r="CR52" s="111"/>
      <c r="CS52" s="111"/>
      <c r="CT52" s="111"/>
      <c r="CU52" s="111"/>
      <c r="CV52" s="111"/>
      <c r="CW52" s="111"/>
      <c r="CX52" s="111"/>
      <c r="CY52" s="111"/>
      <c r="CZ52" s="112"/>
    </row>
    <row r="53" spans="1:115">
      <c r="A53" s="138"/>
      <c r="B53" s="138" t="s">
        <v>18</v>
      </c>
      <c r="C53" s="138"/>
      <c r="D53" s="138"/>
      <c r="E53" s="138"/>
      <c r="F53" s="138"/>
      <c r="G53" s="138"/>
      <c r="I53" s="138" t="s">
        <v>18</v>
      </c>
      <c r="J53" s="138"/>
      <c r="K53" s="138"/>
      <c r="L53" s="138"/>
      <c r="M53" s="212" t="s">
        <v>263</v>
      </c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BE53" s="187"/>
      <c r="BF53" s="187"/>
      <c r="BG53" s="187"/>
      <c r="BH53" s="187"/>
      <c r="BW53" s="138"/>
      <c r="BX53" s="191"/>
      <c r="BY53" s="167"/>
      <c r="BZ53" s="167"/>
      <c r="CK53" s="192"/>
      <c r="CL53" s="192"/>
      <c r="CM53" s="192"/>
      <c r="CN53" s="192"/>
      <c r="CO53" s="192"/>
      <c r="CP53" s="192"/>
      <c r="CQ53" s="192"/>
      <c r="CR53" s="192"/>
      <c r="CS53" s="192"/>
      <c r="CT53" s="192"/>
      <c r="CU53" s="192"/>
      <c r="CV53" s="192"/>
      <c r="CW53" s="192"/>
      <c r="CX53" s="192"/>
      <c r="CY53" s="192"/>
      <c r="CZ53" s="193"/>
    </row>
    <row r="54" spans="1:115">
      <c r="BX54" s="197"/>
      <c r="BY54" s="167"/>
      <c r="BZ54" s="167"/>
    </row>
    <row r="55" spans="1:115">
      <c r="BX55" s="197"/>
      <c r="BY55" s="167"/>
      <c r="BZ55" s="167"/>
    </row>
    <row r="56" spans="1:115">
      <c r="BX56" s="199"/>
      <c r="BY56" s="167"/>
      <c r="BZ56" s="167"/>
    </row>
    <row r="57" spans="1:115">
      <c r="BX57" s="199"/>
      <c r="BY57" s="167"/>
      <c r="BZ57" s="167"/>
    </row>
    <row r="63" spans="1:115">
      <c r="M63" s="200"/>
    </row>
  </sheetData>
  <sheetProtection password="CAE6" sheet="1" objects="1" scenarios="1"/>
  <sortState ref="M20:M41">
    <sortCondition ref="M20"/>
  </sortState>
  <customSheetViews>
    <customSheetView guid="{E031E075-6987-4F32-9116-EC6B3E9AF434}" scale="115" showPageBreaks="1" showGridLines="0" zeroValues="0" fitToPage="1" printArea="1" showAutoFilter="1" hiddenRows="1">
      <pane xSplit="9" ySplit="3" topLeftCell="BL183" activePane="bottomRight" state="frozen"/>
      <selection pane="bottomRight" activeCell="I187" sqref="I187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1"/>
      <headerFooter alignWithMargins="0">
        <oddFooter>&amp;L&amp;T &amp;D&amp;R&amp;"Times New Roman,обычный"&amp;9&amp;P</oddFooter>
      </headerFooter>
      <autoFilter ref="B1:GS1"/>
    </customSheetView>
    <customSheetView guid="{67AC2CBC-2876-4E14-8EE2-582C5F737BC3}" scale="115" showGridLines="0" zeroValues="0" fitToPage="1" filter="1" showAutoFilter="1" hiddenColumns="1" showRuler="0">
      <pane xSplit="9" ySplit="3" topLeftCell="J189" activePane="bottomRight" state="frozen"/>
      <selection pane="bottomRight" activeCell="AQ189" sqref="AQ189"/>
      <pageMargins left="0.19685039370078741" right="0.19685039370078741" top="0.39370078740157483" bottom="0.19685039370078741" header="0.39370078740157483" footer="0.27559055118110237"/>
      <printOptions horizontalCentered="1"/>
      <pageSetup paperSize="9" scale="15" fitToHeight="20" orientation="portrait" r:id="rId2"/>
      <headerFooter alignWithMargins="0">
        <oddFooter>&amp;L&amp;T &amp;D&amp;R&amp;"Times New Roman,обычный"&amp;9&amp;P</oddFooter>
      </headerFooter>
      <autoFilter ref="B1:GS1">
        <filterColumn colId="7">
          <filters>
            <filter val="Курганинский"/>
          </filters>
        </filterColumn>
        <filterColumn colId="9">
          <filters>
            <filter val="Содержание"/>
          </filters>
        </filterColumn>
      </autoFilter>
    </customSheetView>
    <customSheetView guid="{BBEE06E4-9205-40DB-9C78-E17648755B00}" scale="115" showGridLines="0" zeroValues="0" fitToPage="1" showAutoFilter="1" hiddenRows="1" hiddenColumns="1" showRuler="0">
      <pane xSplit="9" ySplit="3" topLeftCell="J4" activePane="bottomRight" state="frozen"/>
      <selection pane="bottomRight" activeCell="J7" sqref="J7"/>
      <pageMargins left="0.19685039370078741" right="0.19685039370078741" top="0.39370078740157483" bottom="0.19685039370078741" header="0.39370078740157483" footer="0.27559055118110237"/>
      <printOptions horizontalCentered="1"/>
      <pageSetup paperSize="9" fitToHeight="20" orientation="portrait" r:id="rId3"/>
      <headerFooter alignWithMargins="0">
        <oddFooter>&amp;L&amp;T &amp;D&amp;R&amp;"Times New Roman,обычный"&amp;9&amp;P</oddFooter>
      </headerFooter>
      <autoFilter ref="B1:GS1"/>
    </customSheetView>
    <customSheetView guid="{4A5FEB23-9FEA-4E9B-A143-FBC359C68DA8}" scale="115" showPageBreaks="1" showGridLines="0" zeroValues="0" fitToPage="1" printArea="1" showAutoFilter="1" hiddenRows="1" showRuler="0">
      <pane xSplit="9" ySplit="3" topLeftCell="BK174" activePane="bottomRight" state="frozen"/>
      <selection pane="bottomRight" activeCell="I175" sqref="I175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4"/>
      <headerFooter alignWithMargins="0">
        <oddFooter>&amp;L&amp;T &amp;D&amp;R&amp;"Times New Roman,обычный"&amp;9&amp;P</oddFooter>
      </headerFooter>
      <autoFilter ref="B1:GS1"/>
    </customSheetView>
    <customSheetView guid="{76AC8A47-0222-474F-85DA-9CB477F01022}" scale="115" showGridLines="0" zeroValues="0" fitToPage="1" showAutoFilter="1" hiddenRows="1" hiddenColumns="1">
      <pane xSplit="9" ySplit="3" topLeftCell="BL201" activePane="bottomRight" state="frozen"/>
      <selection pane="bottomRight" activeCell="BL207" sqref="BL207"/>
      <pageMargins left="0.19685039370078741" right="0.19685039370078741" top="0.39370078740157483" bottom="0.19685039370078741" header="0.39370078740157483" footer="0.27559055118110237"/>
      <printOptions horizontalCentered="1"/>
      <pageSetup paperSize="9" scale="14" fitToHeight="20" orientation="portrait" r:id="rId5"/>
      <headerFooter alignWithMargins="0">
        <oddFooter>&amp;L&amp;T &amp;D&amp;R&amp;"Times New Roman,обычный"&amp;9&amp;P</oddFooter>
      </headerFooter>
      <autoFilter ref="A3:GV211">
        <filterColumn colId="122" showButton="0"/>
        <filterColumn colId="123" showButton="0"/>
        <filterColumn colId="124" showButton="0"/>
        <filterColumn colId="125" showButton="0"/>
        <filterColumn colId="126" showButton="0"/>
        <filterColumn colId="127" showButton="0"/>
        <filterColumn colId="129" showButton="0"/>
        <filterColumn colId="130" showButton="0"/>
        <filterColumn colId="131" showButton="0"/>
        <filterColumn colId="132" showButton="0"/>
        <filterColumn colId="134" showButton="0"/>
        <filterColumn colId="135" showButton="0"/>
        <filterColumn colId="136" showButton="0"/>
        <filterColumn colId="137" showButton="0"/>
        <filterColumn colId="138" showButton="0"/>
        <filterColumn colId="139" showButton="0"/>
        <filterColumn colId="141" showButton="0"/>
        <filterColumn colId="142" showButton="0"/>
        <filterColumn colId="143" showButton="0"/>
        <filterColumn colId="144" showButton="0"/>
        <filterColumn colId="145" showButton="0"/>
        <filterColumn colId="146" showButton="0"/>
        <filterColumn colId="148" showButton="0"/>
        <filterColumn colId="149" showButton="0"/>
        <filterColumn colId="150" showButton="0"/>
        <filterColumn colId="151" showButton="0"/>
        <filterColumn colId="153" showButton="0"/>
        <filterColumn colId="154" showButton="0"/>
        <filterColumn colId="155" showButton="0"/>
        <filterColumn colId="156" showButton="0"/>
        <filterColumn colId="157" showButton="0"/>
        <filterColumn colId="159" showButton="0"/>
      </autoFilter>
    </customSheetView>
  </customSheetViews>
  <mergeCells count="1">
    <mergeCell ref="DA1:DD1"/>
  </mergeCells>
  <phoneticPr fontId="0" type="noConversion"/>
  <conditionalFormatting sqref="CB51:CZ51 CB45:CJ48 CW45:CZ47 CB4:CZ8">
    <cfRule type="cellIs" dxfId="265" priority="14111" stopIfTrue="1" operator="greaterThanOrEqual">
      <formula>0</formula>
    </cfRule>
  </conditionalFormatting>
  <conditionalFormatting sqref="I45:J48 I4:I8">
    <cfRule type="cellIs" dxfId="264" priority="14121" stopIfTrue="1" operator="equal">
      <formula>"да"</formula>
    </cfRule>
  </conditionalFormatting>
  <conditionalFormatting sqref="X4:X8 X42:X43">
    <cfRule type="cellIs" dxfId="263" priority="7846" stopIfTrue="1" operator="notEqual">
      <formula>S4+V4+W4</formula>
    </cfRule>
  </conditionalFormatting>
  <conditionalFormatting sqref="AE14:BO14 DA4:DD8 Y4:Z8 AB4:BO8">
    <cfRule type="cellIs" dxfId="262" priority="7849" stopIfTrue="1" operator="notEqual">
      <formula>ROUND(Y4,0)</formula>
    </cfRule>
  </conditionalFormatting>
  <conditionalFormatting sqref="DK4:DK8">
    <cfRule type="cellIs" dxfId="261" priority="7847" stopIfTrue="1" operator="equal">
      <formula>TRUE</formula>
    </cfRule>
    <cfRule type="cellIs" dxfId="260" priority="7848" stopIfTrue="1" operator="equal">
      <formula>FALSE</formula>
    </cfRule>
  </conditionalFormatting>
  <conditionalFormatting sqref="S4:S8 S42:S43">
    <cfRule type="cellIs" dxfId="259" priority="7842" stopIfTrue="1" operator="notEqual">
      <formula>SUM(T4:U4)</formula>
    </cfRule>
  </conditionalFormatting>
  <conditionalFormatting sqref="X14">
    <cfRule type="cellIs" dxfId="258" priority="2728" stopIfTrue="1" operator="notEqual">
      <formula>S14+V14+W14</formula>
    </cfRule>
  </conditionalFormatting>
  <conditionalFormatting sqref="CB14:CZ14">
    <cfRule type="cellIs" dxfId="257" priority="2725" stopIfTrue="1" operator="greaterThanOrEqual">
      <formula>0</formula>
    </cfRule>
  </conditionalFormatting>
  <conditionalFormatting sqref="Y14:Z14 DA14:DD14 AB14:AD14">
    <cfRule type="cellIs" dxfId="256" priority="2731" stopIfTrue="1" operator="notEqual">
      <formula>ROUND(Y14,0)</formula>
    </cfRule>
  </conditionalFormatting>
  <conditionalFormatting sqref="DK14">
    <cfRule type="cellIs" dxfId="255" priority="2729" stopIfTrue="1" operator="equal">
      <formula>TRUE</formula>
    </cfRule>
    <cfRule type="cellIs" dxfId="254" priority="2730" stopIfTrue="1" operator="equal">
      <formula>FALSE</formula>
    </cfRule>
  </conditionalFormatting>
  <conditionalFormatting sqref="I14">
    <cfRule type="cellIs" dxfId="253" priority="2733" stopIfTrue="1" operator="equal">
      <formula>"да"</formula>
    </cfRule>
  </conditionalFormatting>
  <conditionalFormatting sqref="S14">
    <cfRule type="cellIs" dxfId="252" priority="2724" stopIfTrue="1" operator="notEqual">
      <formula>SUM(T14:U14)</formula>
    </cfRule>
  </conditionalFormatting>
  <conditionalFormatting sqref="AE9:BO13">
    <cfRule type="cellIs" dxfId="251" priority="321" stopIfTrue="1" operator="notEqual">
      <formula>ROUND(AE9,0)</formula>
    </cfRule>
  </conditionalFormatting>
  <conditionalFormatting sqref="X9:X13">
    <cfRule type="cellIs" dxfId="250" priority="314" stopIfTrue="1" operator="notEqual">
      <formula>S9+V9+W9</formula>
    </cfRule>
  </conditionalFormatting>
  <conditionalFormatting sqref="CB9:CZ13">
    <cfRule type="cellIs" dxfId="249" priority="311" stopIfTrue="1" operator="greaterThanOrEqual">
      <formula>0</formula>
    </cfRule>
  </conditionalFormatting>
  <conditionalFormatting sqref="Y9:Z13 DA9:DD13 AB9:AD13">
    <cfRule type="cellIs" dxfId="248" priority="317" stopIfTrue="1" operator="notEqual">
      <formula>ROUND(Y9,0)</formula>
    </cfRule>
  </conditionalFormatting>
  <conditionalFormatting sqref="DK9:DK13">
    <cfRule type="cellIs" dxfId="247" priority="315" stopIfTrue="1" operator="equal">
      <formula>TRUE</formula>
    </cfRule>
    <cfRule type="cellIs" dxfId="246" priority="316" stopIfTrue="1" operator="equal">
      <formula>FALSE</formula>
    </cfRule>
  </conditionalFormatting>
  <conditionalFormatting sqref="I9:I13">
    <cfRule type="cellIs" dxfId="245" priority="319" stopIfTrue="1" operator="equal">
      <formula>"да"</formula>
    </cfRule>
  </conditionalFormatting>
  <conditionalFormatting sqref="S9:S13">
    <cfRule type="cellIs" dxfId="244" priority="310" stopIfTrue="1" operator="notEqual">
      <formula>SUM(T9:U9)</formula>
    </cfRule>
  </conditionalFormatting>
  <conditionalFormatting sqref="AE39:BO39">
    <cfRule type="cellIs" dxfId="243" priority="307" stopIfTrue="1" operator="notEqual">
      <formula>ROUND(AE39,0)</formula>
    </cfRule>
  </conditionalFormatting>
  <conditionalFormatting sqref="X39">
    <cfRule type="cellIs" dxfId="242" priority="300" stopIfTrue="1" operator="notEqual">
      <formula>S39+V39+W39</formula>
    </cfRule>
  </conditionalFormatting>
  <conditionalFormatting sqref="CB39:CZ39">
    <cfRule type="cellIs" dxfId="241" priority="297" stopIfTrue="1" operator="greaterThanOrEqual">
      <formula>0</formula>
    </cfRule>
  </conditionalFormatting>
  <conditionalFormatting sqref="Y39:Z39 DA39:DD39 AB39:AD39">
    <cfRule type="cellIs" dxfId="240" priority="303" stopIfTrue="1" operator="notEqual">
      <formula>ROUND(Y39,0)</formula>
    </cfRule>
  </conditionalFormatting>
  <conditionalFormatting sqref="DK39">
    <cfRule type="cellIs" dxfId="239" priority="301" stopIfTrue="1" operator="equal">
      <formula>TRUE</formula>
    </cfRule>
    <cfRule type="cellIs" dxfId="238" priority="302" stopIfTrue="1" operator="equal">
      <formula>FALSE</formula>
    </cfRule>
  </conditionalFormatting>
  <conditionalFormatting sqref="I39">
    <cfRule type="cellIs" dxfId="237" priority="305" stopIfTrue="1" operator="equal">
      <formula>"да"</formula>
    </cfRule>
  </conditionalFormatting>
  <conditionalFormatting sqref="S39">
    <cfRule type="cellIs" dxfId="236" priority="296" stopIfTrue="1" operator="notEqual">
      <formula>SUM(T39:U39)</formula>
    </cfRule>
  </conditionalFormatting>
  <conditionalFormatting sqref="AE15:BO15">
    <cfRule type="cellIs" dxfId="235" priority="293" stopIfTrue="1" operator="notEqual">
      <formula>ROUND(AE15,0)</formula>
    </cfRule>
  </conditionalFormatting>
  <conditionalFormatting sqref="X15">
    <cfRule type="cellIs" dxfId="234" priority="286" stopIfTrue="1" operator="notEqual">
      <formula>S15+V15+W15</formula>
    </cfRule>
  </conditionalFormatting>
  <conditionalFormatting sqref="CB15:CZ15">
    <cfRule type="cellIs" dxfId="233" priority="283" stopIfTrue="1" operator="greaterThanOrEqual">
      <formula>0</formula>
    </cfRule>
  </conditionalFormatting>
  <conditionalFormatting sqref="Y15:Z15 DA15:DD15 AB15:AD15">
    <cfRule type="cellIs" dxfId="232" priority="289" stopIfTrue="1" operator="notEqual">
      <formula>ROUND(Y15,0)</formula>
    </cfRule>
  </conditionalFormatting>
  <conditionalFormatting sqref="DK15">
    <cfRule type="cellIs" dxfId="231" priority="287" stopIfTrue="1" operator="equal">
      <formula>TRUE</formula>
    </cfRule>
    <cfRule type="cellIs" dxfId="230" priority="288" stopIfTrue="1" operator="equal">
      <formula>FALSE</formula>
    </cfRule>
  </conditionalFormatting>
  <conditionalFormatting sqref="I15">
    <cfRule type="cellIs" dxfId="229" priority="291" stopIfTrue="1" operator="equal">
      <formula>"да"</formula>
    </cfRule>
  </conditionalFormatting>
  <conditionalFormatting sqref="S15">
    <cfRule type="cellIs" dxfId="228" priority="282" stopIfTrue="1" operator="notEqual">
      <formula>SUM(T15:U15)</formula>
    </cfRule>
  </conditionalFormatting>
  <conditionalFormatting sqref="AE16:BO20">
    <cfRule type="cellIs" dxfId="227" priority="279" stopIfTrue="1" operator="notEqual">
      <formula>ROUND(AE16,0)</formula>
    </cfRule>
  </conditionalFormatting>
  <conditionalFormatting sqref="X16:X20">
    <cfRule type="cellIs" dxfId="226" priority="272" stopIfTrue="1" operator="notEqual">
      <formula>S16+V16+W16</formula>
    </cfRule>
  </conditionalFormatting>
  <conditionalFormatting sqref="CB16:CZ20">
    <cfRule type="cellIs" dxfId="225" priority="269" stopIfTrue="1" operator="greaterThanOrEqual">
      <formula>0</formula>
    </cfRule>
  </conditionalFormatting>
  <conditionalFormatting sqref="Y16:Z20 DA16:DD20 AB16:AD20">
    <cfRule type="cellIs" dxfId="224" priority="275" stopIfTrue="1" operator="notEqual">
      <formula>ROUND(Y16,0)</formula>
    </cfRule>
  </conditionalFormatting>
  <conditionalFormatting sqref="DK16:DK20">
    <cfRule type="cellIs" dxfId="223" priority="273" stopIfTrue="1" operator="equal">
      <formula>TRUE</formula>
    </cfRule>
    <cfRule type="cellIs" dxfId="222" priority="274" stopIfTrue="1" operator="equal">
      <formula>FALSE</formula>
    </cfRule>
  </conditionalFormatting>
  <conditionalFormatting sqref="I16:I20">
    <cfRule type="cellIs" dxfId="221" priority="277" stopIfTrue="1" operator="equal">
      <formula>"да"</formula>
    </cfRule>
  </conditionalFormatting>
  <conditionalFormatting sqref="S16:S20">
    <cfRule type="cellIs" dxfId="220" priority="268" stopIfTrue="1" operator="notEqual">
      <formula>SUM(T16:U16)</formula>
    </cfRule>
  </conditionalFormatting>
  <conditionalFormatting sqref="AE26:BO26">
    <cfRule type="cellIs" dxfId="219" priority="265" stopIfTrue="1" operator="notEqual">
      <formula>ROUND(AE26,0)</formula>
    </cfRule>
  </conditionalFormatting>
  <conditionalFormatting sqref="X26">
    <cfRule type="cellIs" dxfId="218" priority="258" stopIfTrue="1" operator="notEqual">
      <formula>S26+V26+W26</formula>
    </cfRule>
  </conditionalFormatting>
  <conditionalFormatting sqref="CB26:CZ26">
    <cfRule type="cellIs" dxfId="217" priority="255" stopIfTrue="1" operator="greaterThanOrEqual">
      <formula>0</formula>
    </cfRule>
  </conditionalFormatting>
  <conditionalFormatting sqref="Y26:Z26 DA26:DD26 AB26:AD26">
    <cfRule type="cellIs" dxfId="216" priority="261" stopIfTrue="1" operator="notEqual">
      <formula>ROUND(Y26,0)</formula>
    </cfRule>
  </conditionalFormatting>
  <conditionalFormatting sqref="DK26">
    <cfRule type="cellIs" dxfId="215" priority="259" stopIfTrue="1" operator="equal">
      <formula>TRUE</formula>
    </cfRule>
    <cfRule type="cellIs" dxfId="214" priority="260" stopIfTrue="1" operator="equal">
      <formula>FALSE</formula>
    </cfRule>
  </conditionalFormatting>
  <conditionalFormatting sqref="I26">
    <cfRule type="cellIs" dxfId="213" priority="263" stopIfTrue="1" operator="equal">
      <formula>"да"</formula>
    </cfRule>
  </conditionalFormatting>
  <conditionalFormatting sqref="S26">
    <cfRule type="cellIs" dxfId="212" priority="254" stopIfTrue="1" operator="notEqual">
      <formula>SUM(T26:U26)</formula>
    </cfRule>
  </conditionalFormatting>
  <conditionalFormatting sqref="AE21:BO25">
    <cfRule type="cellIs" dxfId="211" priority="251" stopIfTrue="1" operator="notEqual">
      <formula>ROUND(AE21,0)</formula>
    </cfRule>
  </conditionalFormatting>
  <conditionalFormatting sqref="X21:X25">
    <cfRule type="cellIs" dxfId="210" priority="244" stopIfTrue="1" operator="notEqual">
      <formula>S21+V21+W21</formula>
    </cfRule>
  </conditionalFormatting>
  <conditionalFormatting sqref="CB21:CZ25">
    <cfRule type="cellIs" dxfId="209" priority="241" stopIfTrue="1" operator="greaterThanOrEqual">
      <formula>0</formula>
    </cfRule>
  </conditionalFormatting>
  <conditionalFormatting sqref="Y21:Z25 DA21:DD25 AB21:AD25">
    <cfRule type="cellIs" dxfId="208" priority="247" stopIfTrue="1" operator="notEqual">
      <formula>ROUND(Y21,0)</formula>
    </cfRule>
  </conditionalFormatting>
  <conditionalFormatting sqref="DK21:DK25">
    <cfRule type="cellIs" dxfId="207" priority="245" stopIfTrue="1" operator="equal">
      <formula>TRUE</formula>
    </cfRule>
    <cfRule type="cellIs" dxfId="206" priority="246" stopIfTrue="1" operator="equal">
      <formula>FALSE</formula>
    </cfRule>
  </conditionalFormatting>
  <conditionalFormatting sqref="I21:I25">
    <cfRule type="cellIs" dxfId="205" priority="249" stopIfTrue="1" operator="equal">
      <formula>"да"</formula>
    </cfRule>
  </conditionalFormatting>
  <conditionalFormatting sqref="S21:S25">
    <cfRule type="cellIs" dxfId="204" priority="240" stopIfTrue="1" operator="notEqual">
      <formula>SUM(T21:U21)</formula>
    </cfRule>
  </conditionalFormatting>
  <conditionalFormatting sqref="AE27:BO27">
    <cfRule type="cellIs" dxfId="203" priority="237" stopIfTrue="1" operator="notEqual">
      <formula>ROUND(AE27,0)</formula>
    </cfRule>
  </conditionalFormatting>
  <conditionalFormatting sqref="X27">
    <cfRule type="cellIs" dxfId="202" priority="230" stopIfTrue="1" operator="notEqual">
      <formula>S27+V27+W27</formula>
    </cfRule>
  </conditionalFormatting>
  <conditionalFormatting sqref="CB27:CZ27">
    <cfRule type="cellIs" dxfId="201" priority="227" stopIfTrue="1" operator="greaterThanOrEqual">
      <formula>0</formula>
    </cfRule>
  </conditionalFormatting>
  <conditionalFormatting sqref="Y27:Z27 DA27:DD27 AB27:AD27">
    <cfRule type="cellIs" dxfId="200" priority="233" stopIfTrue="1" operator="notEqual">
      <formula>ROUND(Y27,0)</formula>
    </cfRule>
  </conditionalFormatting>
  <conditionalFormatting sqref="DK27">
    <cfRule type="cellIs" dxfId="199" priority="231" stopIfTrue="1" operator="equal">
      <formula>TRUE</formula>
    </cfRule>
    <cfRule type="cellIs" dxfId="198" priority="232" stopIfTrue="1" operator="equal">
      <formula>FALSE</formula>
    </cfRule>
  </conditionalFormatting>
  <conditionalFormatting sqref="I27">
    <cfRule type="cellIs" dxfId="197" priority="235" stopIfTrue="1" operator="equal">
      <formula>"да"</formula>
    </cfRule>
  </conditionalFormatting>
  <conditionalFormatting sqref="S27">
    <cfRule type="cellIs" dxfId="196" priority="226" stopIfTrue="1" operator="notEqual">
      <formula>SUM(T27:U27)</formula>
    </cfRule>
  </conditionalFormatting>
  <conditionalFormatting sqref="AE28:BO30 AE38:BO38">
    <cfRule type="cellIs" dxfId="195" priority="223" stopIfTrue="1" operator="notEqual">
      <formula>ROUND(AE28,0)</formula>
    </cfRule>
  </conditionalFormatting>
  <conditionalFormatting sqref="X28:X30 X38">
    <cfRule type="cellIs" dxfId="194" priority="216" stopIfTrue="1" operator="notEqual">
      <formula>S28+V28+W28</formula>
    </cfRule>
  </conditionalFormatting>
  <conditionalFormatting sqref="CB28:CZ30 CB38:CZ38">
    <cfRule type="cellIs" dxfId="193" priority="213" stopIfTrue="1" operator="greaterThanOrEqual">
      <formula>0</formula>
    </cfRule>
  </conditionalFormatting>
  <conditionalFormatting sqref="Y28:Z30 DA28:DD30 DA38:DD38 Y38:Z38 AB38:AD38 AB28:AD30">
    <cfRule type="cellIs" dxfId="192" priority="219" stopIfTrue="1" operator="notEqual">
      <formula>ROUND(Y28,0)</formula>
    </cfRule>
  </conditionalFormatting>
  <conditionalFormatting sqref="DK28:DK30 DK38">
    <cfRule type="cellIs" dxfId="191" priority="217" stopIfTrue="1" operator="equal">
      <formula>TRUE</formula>
    </cfRule>
    <cfRule type="cellIs" dxfId="190" priority="218" stopIfTrue="1" operator="equal">
      <formula>FALSE</formula>
    </cfRule>
  </conditionalFormatting>
  <conditionalFormatting sqref="I28:I30 I38">
    <cfRule type="cellIs" dxfId="189" priority="221" stopIfTrue="1" operator="equal">
      <formula>"да"</formula>
    </cfRule>
  </conditionalFormatting>
  <conditionalFormatting sqref="S28:S30 S38">
    <cfRule type="cellIs" dxfId="188" priority="212" stopIfTrue="1" operator="notEqual">
      <formula>SUM(T28:U28)</formula>
    </cfRule>
  </conditionalFormatting>
  <conditionalFormatting sqref="AE33:BO33">
    <cfRule type="cellIs" dxfId="187" priority="209" stopIfTrue="1" operator="notEqual">
      <formula>ROUND(AE33,0)</formula>
    </cfRule>
  </conditionalFormatting>
  <conditionalFormatting sqref="X33">
    <cfRule type="cellIs" dxfId="186" priority="202" stopIfTrue="1" operator="notEqual">
      <formula>S33+V33+W33</formula>
    </cfRule>
  </conditionalFormatting>
  <conditionalFormatting sqref="CB33:CZ33">
    <cfRule type="cellIs" dxfId="185" priority="199" stopIfTrue="1" operator="greaterThanOrEqual">
      <formula>0</formula>
    </cfRule>
  </conditionalFormatting>
  <conditionalFormatting sqref="Y33:Z33 DA33:DD33 AB33:AD33">
    <cfRule type="cellIs" dxfId="184" priority="205" stopIfTrue="1" operator="notEqual">
      <formula>ROUND(Y33,0)</formula>
    </cfRule>
  </conditionalFormatting>
  <conditionalFormatting sqref="DK33">
    <cfRule type="cellIs" dxfId="183" priority="203" stopIfTrue="1" operator="equal">
      <formula>TRUE</formula>
    </cfRule>
    <cfRule type="cellIs" dxfId="182" priority="204" stopIfTrue="1" operator="equal">
      <formula>FALSE</formula>
    </cfRule>
  </conditionalFormatting>
  <conditionalFormatting sqref="I33">
    <cfRule type="cellIs" dxfId="181" priority="207" stopIfTrue="1" operator="equal">
      <formula>"да"</formula>
    </cfRule>
  </conditionalFormatting>
  <conditionalFormatting sqref="S33">
    <cfRule type="cellIs" dxfId="180" priority="198" stopIfTrue="1" operator="notEqual">
      <formula>SUM(T33:U33)</formula>
    </cfRule>
  </conditionalFormatting>
  <conditionalFormatting sqref="AE31:BO32">
    <cfRule type="cellIs" dxfId="179" priority="195" stopIfTrue="1" operator="notEqual">
      <formula>ROUND(AE31,0)</formula>
    </cfRule>
  </conditionalFormatting>
  <conditionalFormatting sqref="X31:X32">
    <cfRule type="cellIs" dxfId="178" priority="188" stopIfTrue="1" operator="notEqual">
      <formula>S31+V31+W31</formula>
    </cfRule>
  </conditionalFormatting>
  <conditionalFormatting sqref="CB31:CZ32">
    <cfRule type="cellIs" dxfId="177" priority="185" stopIfTrue="1" operator="greaterThanOrEqual">
      <formula>0</formula>
    </cfRule>
  </conditionalFormatting>
  <conditionalFormatting sqref="Y31:Z32 DA31:DD32 AB31:AD32">
    <cfRule type="cellIs" dxfId="176" priority="191" stopIfTrue="1" operator="notEqual">
      <formula>ROUND(Y31,0)</formula>
    </cfRule>
  </conditionalFormatting>
  <conditionalFormatting sqref="DK31:DK32">
    <cfRule type="cellIs" dxfId="175" priority="189" stopIfTrue="1" operator="equal">
      <formula>TRUE</formula>
    </cfRule>
    <cfRule type="cellIs" dxfId="174" priority="190" stopIfTrue="1" operator="equal">
      <formula>FALSE</formula>
    </cfRule>
  </conditionalFormatting>
  <conditionalFormatting sqref="I31:I32">
    <cfRule type="cellIs" dxfId="173" priority="193" stopIfTrue="1" operator="equal">
      <formula>"да"</formula>
    </cfRule>
  </conditionalFormatting>
  <conditionalFormatting sqref="S31:S32">
    <cfRule type="cellIs" dxfId="172" priority="184" stopIfTrue="1" operator="notEqual">
      <formula>SUM(T31:U31)</formula>
    </cfRule>
  </conditionalFormatting>
  <conditionalFormatting sqref="AE34:BO34">
    <cfRule type="cellIs" dxfId="171" priority="181" stopIfTrue="1" operator="notEqual">
      <formula>ROUND(AE34,0)</formula>
    </cfRule>
  </conditionalFormatting>
  <conditionalFormatting sqref="X34">
    <cfRule type="cellIs" dxfId="170" priority="174" stopIfTrue="1" operator="notEqual">
      <formula>S34+V34+W34</formula>
    </cfRule>
  </conditionalFormatting>
  <conditionalFormatting sqref="CB34:CZ34">
    <cfRule type="cellIs" dxfId="169" priority="171" stopIfTrue="1" operator="greaterThanOrEqual">
      <formula>0</formula>
    </cfRule>
  </conditionalFormatting>
  <conditionalFormatting sqref="Y34:Z34 DA34:DD34 AB34:AD34">
    <cfRule type="cellIs" dxfId="168" priority="177" stopIfTrue="1" operator="notEqual">
      <formula>ROUND(Y34,0)</formula>
    </cfRule>
  </conditionalFormatting>
  <conditionalFormatting sqref="DK34">
    <cfRule type="cellIs" dxfId="167" priority="175" stopIfTrue="1" operator="equal">
      <formula>TRUE</formula>
    </cfRule>
    <cfRule type="cellIs" dxfId="166" priority="176" stopIfTrue="1" operator="equal">
      <formula>FALSE</formula>
    </cfRule>
  </conditionalFormatting>
  <conditionalFormatting sqref="S34">
    <cfRule type="cellIs" dxfId="165" priority="170" stopIfTrue="1" operator="notEqual">
      <formula>SUM(T34:U34)</formula>
    </cfRule>
  </conditionalFormatting>
  <conditionalFormatting sqref="AE35:BO37">
    <cfRule type="cellIs" dxfId="164" priority="167" stopIfTrue="1" operator="notEqual">
      <formula>ROUND(AE35,0)</formula>
    </cfRule>
  </conditionalFormatting>
  <conditionalFormatting sqref="X35:X37">
    <cfRule type="cellIs" dxfId="163" priority="160" stopIfTrue="1" operator="notEqual">
      <formula>S35+V35+W35</formula>
    </cfRule>
  </conditionalFormatting>
  <conditionalFormatting sqref="CB35:CZ37">
    <cfRule type="cellIs" dxfId="162" priority="157" stopIfTrue="1" operator="greaterThanOrEqual">
      <formula>0</formula>
    </cfRule>
  </conditionalFormatting>
  <conditionalFormatting sqref="Y35:Z37 DA35:DD37 AB35:AD37">
    <cfRule type="cellIs" dxfId="161" priority="163" stopIfTrue="1" operator="notEqual">
      <formula>ROUND(Y35,0)</formula>
    </cfRule>
  </conditionalFormatting>
  <conditionalFormatting sqref="DK35:DK37">
    <cfRule type="cellIs" dxfId="160" priority="161" stopIfTrue="1" operator="equal">
      <formula>TRUE</formula>
    </cfRule>
    <cfRule type="cellIs" dxfId="159" priority="162" stopIfTrue="1" operator="equal">
      <formula>FALSE</formula>
    </cfRule>
  </conditionalFormatting>
  <conditionalFormatting sqref="I36:I37">
    <cfRule type="cellIs" dxfId="158" priority="165" stopIfTrue="1" operator="equal">
      <formula>"да"</formula>
    </cfRule>
  </conditionalFormatting>
  <conditionalFormatting sqref="S35:S37">
    <cfRule type="cellIs" dxfId="157" priority="156" stopIfTrue="1" operator="notEqual">
      <formula>SUM(T35:U35)</formula>
    </cfRule>
  </conditionalFormatting>
  <conditionalFormatting sqref="AE40:BO40">
    <cfRule type="cellIs" dxfId="156" priority="125" stopIfTrue="1" operator="notEqual">
      <formula>ROUND(AE40,0)</formula>
    </cfRule>
  </conditionalFormatting>
  <conditionalFormatting sqref="X40">
    <cfRule type="cellIs" dxfId="155" priority="118" stopIfTrue="1" operator="notEqual">
      <formula>S40+V40+W40</formula>
    </cfRule>
  </conditionalFormatting>
  <conditionalFormatting sqref="CB40:CZ40">
    <cfRule type="cellIs" dxfId="154" priority="115" stopIfTrue="1" operator="greaterThanOrEqual">
      <formula>0</formula>
    </cfRule>
  </conditionalFormatting>
  <conditionalFormatting sqref="Y40:Z40 DA40:DD40 AB40:AD40">
    <cfRule type="cellIs" dxfId="153" priority="121" stopIfTrue="1" operator="notEqual">
      <formula>ROUND(Y40,0)</formula>
    </cfRule>
  </conditionalFormatting>
  <conditionalFormatting sqref="DK40">
    <cfRule type="cellIs" dxfId="152" priority="119" stopIfTrue="1" operator="equal">
      <formula>TRUE</formula>
    </cfRule>
    <cfRule type="cellIs" dxfId="151" priority="120" stopIfTrue="1" operator="equal">
      <formula>FALSE</formula>
    </cfRule>
  </conditionalFormatting>
  <conditionalFormatting sqref="I40">
    <cfRule type="cellIs" dxfId="150" priority="123" stopIfTrue="1" operator="equal">
      <formula>"да"</formula>
    </cfRule>
  </conditionalFormatting>
  <conditionalFormatting sqref="S40">
    <cfRule type="cellIs" dxfId="149" priority="114" stopIfTrue="1" operator="notEqual">
      <formula>SUM(T40:U40)</formula>
    </cfRule>
  </conditionalFormatting>
  <conditionalFormatting sqref="AE41:BO41">
    <cfRule type="cellIs" dxfId="148" priority="111" stopIfTrue="1" operator="notEqual">
      <formula>ROUND(AE41,0)</formula>
    </cfRule>
  </conditionalFormatting>
  <conditionalFormatting sqref="X41">
    <cfRule type="cellIs" dxfId="147" priority="104" stopIfTrue="1" operator="notEqual">
      <formula>S41+V41+W41</formula>
    </cfRule>
  </conditionalFormatting>
  <conditionalFormatting sqref="CB41:CZ41">
    <cfRule type="cellIs" dxfId="146" priority="101" stopIfTrue="1" operator="greaterThanOrEqual">
      <formula>0</formula>
    </cfRule>
  </conditionalFormatting>
  <conditionalFormatting sqref="Y41:Z41 DA41:DD41 AB41:AD41">
    <cfRule type="cellIs" dxfId="145" priority="107" stopIfTrue="1" operator="notEqual">
      <formula>ROUND(Y41,0)</formula>
    </cfRule>
  </conditionalFormatting>
  <conditionalFormatting sqref="DK41">
    <cfRule type="cellIs" dxfId="144" priority="105" stopIfTrue="1" operator="equal">
      <formula>TRUE</formula>
    </cfRule>
    <cfRule type="cellIs" dxfId="143" priority="106" stopIfTrue="1" operator="equal">
      <formula>FALSE</formula>
    </cfRule>
  </conditionalFormatting>
  <conditionalFormatting sqref="I41">
    <cfRule type="cellIs" dxfId="142" priority="109" stopIfTrue="1" operator="equal">
      <formula>"да"</formula>
    </cfRule>
  </conditionalFormatting>
  <conditionalFormatting sqref="S41">
    <cfRule type="cellIs" dxfId="141" priority="100" stopIfTrue="1" operator="notEqual">
      <formula>SUM(T41:U41)</formula>
    </cfRule>
  </conditionalFormatting>
  <conditionalFormatting sqref="AE42:BO43">
    <cfRule type="cellIs" dxfId="140" priority="97" stopIfTrue="1" operator="notEqual">
      <formula>ROUND(AE42,0)</formula>
    </cfRule>
  </conditionalFormatting>
  <conditionalFormatting sqref="CB42:CZ43">
    <cfRule type="cellIs" dxfId="139" priority="87" stopIfTrue="1" operator="greaterThanOrEqual">
      <formula>0</formula>
    </cfRule>
  </conditionalFormatting>
  <conditionalFormatting sqref="DA42:DD43 Y42:Z43 AB42:AD43 AA4:AA43">
    <cfRule type="cellIs" dxfId="138" priority="93" stopIfTrue="1" operator="notEqual">
      <formula>ROUND(Y4,0)</formula>
    </cfRule>
  </conditionalFormatting>
  <conditionalFormatting sqref="DK42:DK43">
    <cfRule type="cellIs" dxfId="137" priority="91" stopIfTrue="1" operator="equal">
      <formula>TRUE</formula>
    </cfRule>
    <cfRule type="cellIs" dxfId="136" priority="92" stopIfTrue="1" operator="equal">
      <formula>FALSE</formula>
    </cfRule>
  </conditionalFormatting>
  <conditionalFormatting sqref="I42:I43">
    <cfRule type="cellIs" dxfId="135" priority="95" stopIfTrue="1" operator="equal">
      <formula>"да"</formula>
    </cfRule>
  </conditionalFormatting>
  <conditionalFormatting sqref="I34:I35">
    <cfRule type="cellIs" dxfId="134" priority="25" stopIfTrue="1" operator="equal">
      <formula>"да"</formula>
    </cfRule>
  </conditionalFormatting>
  <conditionalFormatting sqref="X44">
    <cfRule type="cellIs" dxfId="133" priority="12" stopIfTrue="1" operator="notEqual">
      <formula>S44+V44+W44</formula>
    </cfRule>
  </conditionalFormatting>
  <conditionalFormatting sqref="Y44:Z44 AB44:BO44">
    <cfRule type="cellIs" dxfId="132" priority="13" stopIfTrue="1" operator="notEqual">
      <formula>ROUND(Y44,0)</formula>
    </cfRule>
  </conditionalFormatting>
  <conditionalFormatting sqref="I44">
    <cfRule type="cellIs" dxfId="131" priority="14" stopIfTrue="1" operator="equal">
      <formula>"да"</formula>
    </cfRule>
  </conditionalFormatting>
  <conditionalFormatting sqref="S44">
    <cfRule type="cellIs" dxfId="130" priority="9" stopIfTrue="1" operator="notEqual">
      <formula>SUM(T44:U44)</formula>
    </cfRule>
  </conditionalFormatting>
  <conditionalFormatting sqref="AA44">
    <cfRule type="cellIs" dxfId="129" priority="7" stopIfTrue="1" operator="notEqual">
      <formula>ROUND(AA44,0)</formula>
    </cfRule>
  </conditionalFormatting>
  <conditionalFormatting sqref="BX44:BZ44">
    <cfRule type="cellIs" dxfId="128" priority="4" stopIfTrue="1" operator="notEqual">
      <formula>ROUND(BX44,0)</formula>
    </cfRule>
  </conditionalFormatting>
  <conditionalFormatting sqref="K9:K44">
    <cfRule type="expression" dxfId="127" priority="14122" stopIfTrue="1">
      <formula>K9&lt;&gt;#REF!</formula>
    </cfRule>
  </conditionalFormatting>
  <conditionalFormatting sqref="CB44:CY44">
    <cfRule type="cellIs" dxfId="126" priority="3" stopIfTrue="1" operator="notEqual">
      <formula>ROUND(CB44,0)</formula>
    </cfRule>
  </conditionalFormatting>
  <conditionalFormatting sqref="K4:K7">
    <cfRule type="expression" dxfId="125" priority="2" stopIfTrue="1">
      <formula>K4&lt;&gt;#REF!</formula>
    </cfRule>
  </conditionalFormatting>
  <conditionalFormatting sqref="K8">
    <cfRule type="expression" dxfId="124" priority="1" stopIfTrue="1">
      <formula>K8&lt;&gt;#REF!</formula>
    </cfRule>
  </conditionalFormatting>
  <printOptions horizontalCentered="1"/>
  <pageMargins left="0.19685039370078741" right="0.19685039370078741" top="0.39370078740157483" bottom="0.19685039370078741" header="0.39370078740157483" footer="0.27559055118110237"/>
  <pageSetup paperSize="9" scale="14" fitToHeight="20" orientation="portrait" r:id="rId6"/>
  <headerFooter alignWithMargins="0">
    <oddFooter>&amp;L&amp;T &amp;D&amp;R&amp;"Times New Roman,обычный"&amp;9&amp;P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notContainsText" priority="27" operator="notContains" id="{3A30AAED-0E67-4C5D-8BEF-C17C2541B32C}">
            <xm:f>ISERROR(SEARCH(VLOOKUP(L4,'Расчет инфляции'!BD$5:BD$22,1,0),L4))</xm:f>
            <xm:f>VLOOKUP(L4,'Расчет инфляции'!BD$5:BD$22,1,0)</xm:f>
            <x14:dxf>
              <font>
                <b/>
                <i val="0"/>
                <color rgb="FFFF0000"/>
              </font>
            </x14:dxf>
          </x14:cfRule>
          <xm:sqref>L4:L1048576</xm:sqref>
        </x14:conditionalFormatting>
        <x14:conditionalFormatting xmlns:xm="http://schemas.microsoft.com/office/excel/2006/main">
          <x14:cfRule type="notContainsText" priority="26" operator="notContains" id="{FCEA9E75-DFDF-46C3-B71F-C426F73017E1}">
            <xm:f>ISERROR(SEARCH(VLOOKUP(H45,'Расчет инфляции'!$BC$5:$BC$22,1,0),H45))</xm:f>
            <xm:f>VLOOKUP(H45,'Расчет инфляции'!$BC$5:$BC$22,1,0)</xm:f>
            <x14:dxf>
              <font>
                <b/>
                <i val="0"/>
                <color rgb="FFFF0000"/>
              </font>
            </x14:dxf>
          </x14:cfRule>
          <xm:sqref>H45:H1048576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0">
    <pageSetUpPr fitToPage="1"/>
  </sheetPr>
  <dimension ref="A1:BB1401"/>
  <sheetViews>
    <sheetView showGridLines="0" showZeros="0" tabSelected="1" zoomScaleNormal="100" zoomScaleSheetLayoutView="85" workbookViewId="0">
      <pane xSplit="4" ySplit="1" topLeftCell="E29" activePane="bottomRight" state="frozen"/>
      <selection pane="topRight" activeCell="D1" sqref="D1"/>
      <selection pane="bottomLeft" activeCell="A2" sqref="A2"/>
      <selection pane="bottomRight" activeCell="D33" sqref="D33"/>
    </sheetView>
  </sheetViews>
  <sheetFormatPr defaultColWidth="9.140625" defaultRowHeight="15.75"/>
  <cols>
    <col min="1" max="1" width="4.140625" style="221" customWidth="1"/>
    <col min="2" max="2" width="52.42578125" style="221" customWidth="1"/>
    <col min="3" max="3" width="8.7109375" style="221" customWidth="1"/>
    <col min="4" max="4" width="33.7109375" style="221" customWidth="1"/>
    <col min="5" max="5" width="15.140625" style="171" customWidth="1"/>
    <col min="6" max="6" width="12.140625" style="171" customWidth="1"/>
    <col min="7" max="7" width="53.7109375" style="198" hidden="1" customWidth="1"/>
    <col min="8" max="8" width="40.7109375" style="198" hidden="1" customWidth="1"/>
    <col min="9" max="9" width="93.7109375" style="222" hidden="1" customWidth="1"/>
    <col min="10" max="10" width="10.85546875" style="171" bestFit="1" customWidth="1"/>
    <col min="11" max="11" width="9.140625" style="171" customWidth="1"/>
    <col min="12" max="36" width="9.140625" style="171" hidden="1" customWidth="1"/>
    <col min="37" max="51" width="0" style="171" hidden="1" customWidth="1"/>
    <col min="52" max="16384" width="9.140625" style="171"/>
  </cols>
  <sheetData>
    <row r="1" spans="1:12">
      <c r="G1" s="112"/>
      <c r="H1" s="112"/>
    </row>
    <row r="2" spans="1:12">
      <c r="D2" s="223" t="s">
        <v>146</v>
      </c>
      <c r="J2" s="171">
        <v>1</v>
      </c>
    </row>
    <row r="3" spans="1:12" s="225" customFormat="1" ht="31.5">
      <c r="A3" s="224"/>
      <c r="B3" s="224"/>
      <c r="C3" s="287" t="str">
        <f>'Анализ стоимости'!M49</f>
        <v>Глава Вышестеблиевского сельского  поселения Темрюкского района</v>
      </c>
      <c r="D3" s="288"/>
      <c r="G3" s="226"/>
      <c r="H3" s="227" t="str">
        <f>C3</f>
        <v>Глава Вышестеблиевского сельского  поселения Темрюкского района</v>
      </c>
      <c r="I3" s="222"/>
      <c r="J3" s="225">
        <v>1</v>
      </c>
    </row>
    <row r="4" spans="1:12">
      <c r="D4" s="223"/>
      <c r="J4" s="171">
        <v>1</v>
      </c>
    </row>
    <row r="5" spans="1:12">
      <c r="D5" s="223" t="str">
        <f>CONCATENATE("________________________ ",'Анализ стоимости'!M50)</f>
        <v>________________________ П.К.Хаджиди</v>
      </c>
      <c r="J5" s="171">
        <v>1</v>
      </c>
    </row>
    <row r="6" spans="1:12">
      <c r="D6" s="228" t="s">
        <v>147</v>
      </c>
      <c r="J6" s="171">
        <v>1</v>
      </c>
    </row>
    <row r="7" spans="1:12" s="229" customFormat="1" ht="18.75">
      <c r="A7" s="300" t="s">
        <v>148</v>
      </c>
      <c r="B7" s="300"/>
      <c r="C7" s="300"/>
      <c r="D7" s="300"/>
      <c r="F7" s="230"/>
      <c r="G7" s="198"/>
      <c r="H7" s="198"/>
      <c r="I7" s="231"/>
      <c r="J7" s="229">
        <v>1</v>
      </c>
    </row>
    <row r="8" spans="1:12" s="225" customFormat="1" ht="31.5">
      <c r="A8" s="296" t="str">
        <f>CONCATENATE("Предмет государственного контракта: ",VLOOKUP($F$8,'Анализ стоимости'!$A$4:$DK$59,11+2,0))</f>
        <v xml:space="preserve">Предмет государственного контракта: Ремонт улично-дорожной сети   в Вышестеблиевском сельском поселении Темрюкского района </v>
      </c>
      <c r="B8" s="296"/>
      <c r="C8" s="296"/>
      <c r="D8" s="296"/>
      <c r="E8" s="232"/>
      <c r="F8" s="233">
        <v>41</v>
      </c>
      <c r="G8" s="226"/>
      <c r="H8" s="226"/>
      <c r="I8" s="234" t="str">
        <f>A8</f>
        <v xml:space="preserve">Предмет государственного контракта: Ремонт улично-дорожной сети   в Вышестеблиевском сельском поселении Темрюкского района </v>
      </c>
      <c r="J8" s="225">
        <v>1</v>
      </c>
    </row>
    <row r="9" spans="1:12" s="237" customFormat="1" ht="5.25">
      <c r="A9" s="235"/>
      <c r="B9" s="235"/>
      <c r="C9" s="235"/>
      <c r="D9" s="235"/>
      <c r="E9" s="236"/>
      <c r="G9" s="238"/>
      <c r="H9" s="238"/>
      <c r="I9" s="239"/>
      <c r="J9" s="237">
        <v>1</v>
      </c>
    </row>
    <row r="10" spans="1:12" s="225" customFormat="1">
      <c r="A10" s="240" t="str">
        <f>CONCATENATE("Дата подготовки обоснования начальной (максимальной) цены контракта: ",TEXT(VLOOKUP($F$10,'Анализ стоимости'!$A$4:$BY$59,2,0),"ДД.ММ.ГГГГ")," г")</f>
        <v>Дата подготовки обоснования начальной (максимальной) цены контракта: 07.10.2014 г</v>
      </c>
      <c r="B10" s="241"/>
      <c r="C10" s="241"/>
      <c r="D10" s="241"/>
      <c r="E10" s="232"/>
      <c r="F10" s="242">
        <f>IF('Анализ стоимости'!AO4&gt;0,'Анализ стоимости'!A4,0)</f>
        <v>1</v>
      </c>
      <c r="G10" s="226"/>
      <c r="H10" s="226"/>
      <c r="I10" s="243"/>
      <c r="J10" s="225">
        <v>1</v>
      </c>
    </row>
    <row r="11" spans="1:12" s="225" customFormat="1">
      <c r="A11" s="296" t="s">
        <v>163</v>
      </c>
      <c r="B11" s="296"/>
      <c r="C11" s="296"/>
      <c r="D11" s="296"/>
      <c r="E11" s="244"/>
      <c r="F11" s="242">
        <f>IF('Анализ стоимости'!AO5&gt;0,'Анализ стоимости'!A5,0)</f>
        <v>2</v>
      </c>
      <c r="G11" s="226"/>
      <c r="H11" s="226"/>
      <c r="I11" s="234"/>
      <c r="J11" s="225">
        <v>1</v>
      </c>
    </row>
    <row r="12" spans="1:12" s="225" customFormat="1" ht="31.5">
      <c r="A12" s="296" t="s">
        <v>164</v>
      </c>
      <c r="B12" s="296"/>
      <c r="C12" s="296"/>
      <c r="D12" s="296"/>
      <c r="E12" s="232"/>
      <c r="F12" s="242">
        <f>IF('Анализ стоимости'!AO6&gt;0,'Анализ стоимости'!A6,0)</f>
        <v>0</v>
      </c>
      <c r="G12" s="226"/>
      <c r="H12" s="226"/>
      <c r="I12" s="245" t="str">
        <f>A12</f>
        <v xml:space="preserve">Обоснование выбранного метода определения начальной (максимальной) цены контракта: часть 10 статьи 22 федерального закона от 05.04.2013 г. №44-ФЗ </v>
      </c>
      <c r="J12" s="225">
        <v>1</v>
      </c>
    </row>
    <row r="13" spans="1:12" s="237" customFormat="1" ht="5.25">
      <c r="A13" s="246"/>
      <c r="B13" s="235"/>
      <c r="C13" s="235"/>
      <c r="D13" s="235"/>
      <c r="E13" s="236"/>
      <c r="F13" s="247">
        <f>IF('Анализ стоимости'!AO7&gt;0,'Анализ стоимости'!A7,0)</f>
        <v>0</v>
      </c>
      <c r="G13" s="238"/>
      <c r="H13" s="238"/>
      <c r="I13" s="239"/>
      <c r="J13" s="237">
        <v>1</v>
      </c>
    </row>
    <row r="14" spans="1:12" s="225" customFormat="1">
      <c r="A14" s="248" t="str">
        <f>CONCATENATE("Таблица. Расчет начальной (максимальной) цены контракта на основании", IF(COUNTIF(F10:I49,"&gt;0")&gt;1,CONCATENATE(" приложений №1 - №",COUNTIF(F10:I49,"&gt;0"))," приложения №1"))</f>
        <v>Таблица. Расчет начальной (максимальной) цены контракта на основании приложений №1 - №2</v>
      </c>
      <c r="B14" s="241"/>
      <c r="C14" s="241"/>
      <c r="D14" s="241"/>
      <c r="E14" s="232"/>
      <c r="F14" s="242">
        <f>IF('Анализ стоимости'!AO8&gt;0,'Анализ стоимости'!A8,0)</f>
        <v>0</v>
      </c>
      <c r="G14" s="226"/>
      <c r="H14" s="226"/>
      <c r="I14" s="243"/>
      <c r="J14" s="225">
        <v>1</v>
      </c>
    </row>
    <row r="15" spans="1:12">
      <c r="A15" s="297" t="s">
        <v>150</v>
      </c>
      <c r="B15" s="297"/>
      <c r="C15" s="297"/>
      <c r="D15" s="297"/>
      <c r="F15" s="242">
        <f>IF('Анализ стоимости'!AO9&gt;0,'Анализ стоимости'!A9,0)</f>
        <v>0</v>
      </c>
      <c r="I15" s="231"/>
      <c r="J15" s="171">
        <v>1</v>
      </c>
      <c r="K15" s="225"/>
    </row>
    <row r="16" spans="1:12" s="136" customFormat="1" ht="47.25">
      <c r="A16" s="249" t="s">
        <v>53</v>
      </c>
      <c r="B16" s="249" t="s">
        <v>87</v>
      </c>
      <c r="C16" s="298" t="str">
        <f>CONCATENATE("Стоимость  согласно сметной документации (руб.) в текущих ценах по состоянию на ",VLOOKUP($F$8,'Анализ стоимости'!$A$4:$BY$59,6+2,0)," г.")</f>
        <v>Стоимость  согласно сметной документации (руб.) в текущих ценах по состоянию на 01.08.2013 г.</v>
      </c>
      <c r="D16" s="299"/>
      <c r="F16" s="242">
        <f>IF('Анализ стоимости'!AO10&gt;0,'Анализ стоимости'!A10,0)</f>
        <v>0</v>
      </c>
      <c r="G16" s="198"/>
      <c r="H16" s="250" t="str">
        <f>C16</f>
        <v>Стоимость  согласно сметной документации (руб.) в текущих ценах по состоянию на 01.08.2013 г.</v>
      </c>
      <c r="I16" s="231"/>
      <c r="J16" s="136">
        <v>1</v>
      </c>
      <c r="L16" s="251" t="s">
        <v>207</v>
      </c>
    </row>
    <row r="17" spans="1:54" s="136" customFormat="1">
      <c r="A17" s="252">
        <v>1</v>
      </c>
      <c r="B17" s="253" t="s">
        <v>28</v>
      </c>
      <c r="C17" s="292">
        <f>SUMIF(L17:AY17,$L$16)</f>
        <v>76998</v>
      </c>
      <c r="D17" s="293"/>
      <c r="F17" s="242">
        <f>IF('Анализ стоимости'!AO11&gt;0,'Анализ стоимости'!A11,0)</f>
        <v>0</v>
      </c>
      <c r="G17" s="198"/>
      <c r="H17" s="198"/>
      <c r="I17" s="231"/>
      <c r="J17" s="136">
        <v>1</v>
      </c>
      <c r="L17" s="165">
        <f>C48</f>
        <v>32783</v>
      </c>
      <c r="M17" s="165">
        <f>C82</f>
        <v>44215</v>
      </c>
      <c r="N17" s="165" t="e">
        <f>C116</f>
        <v>#N/A</v>
      </c>
      <c r="O17" s="165" t="e">
        <f>C150</f>
        <v>#N/A</v>
      </c>
      <c r="P17" s="165" t="e">
        <f>C184</f>
        <v>#N/A</v>
      </c>
      <c r="Q17" s="165" t="e">
        <f>C218</f>
        <v>#N/A</v>
      </c>
      <c r="R17" s="165" t="e">
        <f>C252</f>
        <v>#N/A</v>
      </c>
      <c r="S17" s="165" t="e">
        <f>C286</f>
        <v>#N/A</v>
      </c>
      <c r="T17" s="165" t="e">
        <f>C320</f>
        <v>#N/A</v>
      </c>
      <c r="U17" s="165" t="e">
        <f>C354</f>
        <v>#N/A</v>
      </c>
      <c r="V17" s="165" t="e">
        <f>C388</f>
        <v>#N/A</v>
      </c>
      <c r="W17" s="165" t="e">
        <f>C422</f>
        <v>#N/A</v>
      </c>
      <c r="X17" s="165" t="e">
        <f>C456</f>
        <v>#N/A</v>
      </c>
      <c r="Y17" s="165" t="e">
        <f>C490</f>
        <v>#N/A</v>
      </c>
      <c r="Z17" s="165" t="e">
        <f>C524</f>
        <v>#N/A</v>
      </c>
      <c r="AA17" s="165" t="e">
        <f>C558</f>
        <v>#N/A</v>
      </c>
      <c r="AB17" s="165" t="e">
        <f>C592</f>
        <v>#N/A</v>
      </c>
      <c r="AC17" s="165" t="e">
        <f>C626</f>
        <v>#N/A</v>
      </c>
      <c r="AD17" s="165" t="e">
        <f>C660</f>
        <v>#N/A</v>
      </c>
      <c r="AE17" s="165" t="e">
        <f>C694</f>
        <v>#N/A</v>
      </c>
      <c r="AF17" s="165" t="e">
        <f>C728</f>
        <v>#N/A</v>
      </c>
      <c r="AG17" s="165" t="e">
        <f>C762</f>
        <v>#N/A</v>
      </c>
      <c r="AH17" s="165" t="e">
        <f>C796</f>
        <v>#N/A</v>
      </c>
      <c r="AI17" s="165" t="e">
        <f>C830</f>
        <v>#N/A</v>
      </c>
      <c r="AJ17" s="165" t="e">
        <f>C864</f>
        <v>#N/A</v>
      </c>
      <c r="AK17" s="165" t="e">
        <f>C898</f>
        <v>#N/A</v>
      </c>
      <c r="AL17" s="165" t="e">
        <f>C932</f>
        <v>#N/A</v>
      </c>
      <c r="AM17" s="165" t="e">
        <f>C966</f>
        <v>#N/A</v>
      </c>
      <c r="AN17" s="165" t="e">
        <f>C1000</f>
        <v>#N/A</v>
      </c>
      <c r="AO17" s="165" t="e">
        <f>C1034</f>
        <v>#N/A</v>
      </c>
      <c r="AP17" s="165" t="e">
        <f>C1068</f>
        <v>#N/A</v>
      </c>
      <c r="AQ17" s="165" t="e">
        <f>C1102</f>
        <v>#N/A</v>
      </c>
      <c r="AR17" s="165" t="e">
        <f>C1136</f>
        <v>#N/A</v>
      </c>
      <c r="AS17" s="165" t="e">
        <f>C1170</f>
        <v>#N/A</v>
      </c>
      <c r="AT17" s="165" t="e">
        <f>C1204</f>
        <v>#N/A</v>
      </c>
      <c r="AU17" s="165" t="e">
        <f>C1238</f>
        <v>#N/A</v>
      </c>
      <c r="AV17" s="165" t="e">
        <f>C1272</f>
        <v>#N/A</v>
      </c>
      <c r="AW17" s="165" t="e">
        <f>C1306</f>
        <v>#N/A</v>
      </c>
      <c r="AX17" s="165" t="e">
        <f>C1340</f>
        <v>#N/A</v>
      </c>
      <c r="AY17" s="165" t="e">
        <f>C1374</f>
        <v>#N/A</v>
      </c>
      <c r="AZ17" s="165"/>
      <c r="BA17" s="165"/>
      <c r="BB17" s="165"/>
    </row>
    <row r="18" spans="1:54" s="136" customFormat="1">
      <c r="A18" s="252">
        <v>2</v>
      </c>
      <c r="B18" s="253" t="s">
        <v>23</v>
      </c>
      <c r="C18" s="292">
        <f t="shared" ref="C18:C24" si="0">SUMIF(L18:AY18,$L$16)</f>
        <v>67099</v>
      </c>
      <c r="D18" s="293"/>
      <c r="F18" s="242">
        <f>IF('Анализ стоимости'!AO12&gt;0,'Анализ стоимости'!A12,0)</f>
        <v>0</v>
      </c>
      <c r="G18" s="198"/>
      <c r="H18" s="198"/>
      <c r="I18" s="231"/>
      <c r="J18" s="136">
        <v>1</v>
      </c>
      <c r="K18" s="251"/>
      <c r="L18" s="165">
        <f t="shared" ref="L18:L24" si="1">C49</f>
        <v>23666</v>
      </c>
      <c r="M18" s="165">
        <f t="shared" ref="M18:M24" si="2">C83</f>
        <v>43433</v>
      </c>
      <c r="N18" s="165" t="e">
        <f t="shared" ref="N18:N24" si="3">C117</f>
        <v>#N/A</v>
      </c>
      <c r="O18" s="165" t="e">
        <f t="shared" ref="O18:O24" si="4">C151</f>
        <v>#N/A</v>
      </c>
      <c r="P18" s="165" t="e">
        <f t="shared" ref="P18:P24" si="5">C185</f>
        <v>#N/A</v>
      </c>
      <c r="Q18" s="165" t="e">
        <f t="shared" ref="Q18:Q24" si="6">C219</f>
        <v>#N/A</v>
      </c>
      <c r="R18" s="165" t="e">
        <f t="shared" ref="R18:R24" si="7">C253</f>
        <v>#N/A</v>
      </c>
      <c r="S18" s="165" t="e">
        <f t="shared" ref="S18:S24" si="8">C287</f>
        <v>#N/A</v>
      </c>
      <c r="T18" s="165" t="e">
        <f t="shared" ref="T18:T24" si="9">C321</f>
        <v>#N/A</v>
      </c>
      <c r="U18" s="165" t="e">
        <f t="shared" ref="U18:U24" si="10">C355</f>
        <v>#N/A</v>
      </c>
      <c r="V18" s="165" t="e">
        <f t="shared" ref="V18:V24" si="11">C389</f>
        <v>#N/A</v>
      </c>
      <c r="W18" s="165" t="e">
        <f t="shared" ref="W18:W24" si="12">C423</f>
        <v>#N/A</v>
      </c>
      <c r="X18" s="165" t="e">
        <f t="shared" ref="X18:X24" si="13">C457</f>
        <v>#N/A</v>
      </c>
      <c r="Y18" s="165" t="e">
        <f t="shared" ref="Y18:Y24" si="14">C491</f>
        <v>#N/A</v>
      </c>
      <c r="Z18" s="165" t="e">
        <f t="shared" ref="Z18:Z24" si="15">C525</f>
        <v>#N/A</v>
      </c>
      <c r="AA18" s="165" t="e">
        <f t="shared" ref="AA18:AA24" si="16">C559</f>
        <v>#N/A</v>
      </c>
      <c r="AB18" s="165" t="e">
        <f t="shared" ref="AB18:AB24" si="17">C593</f>
        <v>#N/A</v>
      </c>
      <c r="AC18" s="165" t="e">
        <f t="shared" ref="AC18:AC24" si="18">C627</f>
        <v>#N/A</v>
      </c>
      <c r="AD18" s="165" t="e">
        <f t="shared" ref="AD18:AD24" si="19">C661</f>
        <v>#N/A</v>
      </c>
      <c r="AE18" s="165" t="e">
        <f t="shared" ref="AE18:AE24" si="20">C695</f>
        <v>#N/A</v>
      </c>
      <c r="AF18" s="165" t="e">
        <f t="shared" ref="AF18:AF24" si="21">C729</f>
        <v>#N/A</v>
      </c>
      <c r="AG18" s="165" t="e">
        <f t="shared" ref="AG18:AG24" si="22">C763</f>
        <v>#N/A</v>
      </c>
      <c r="AH18" s="165" t="e">
        <f t="shared" ref="AH18:AH24" si="23">C797</f>
        <v>#N/A</v>
      </c>
      <c r="AI18" s="165" t="e">
        <f t="shared" ref="AI18:AI24" si="24">C831</f>
        <v>#N/A</v>
      </c>
      <c r="AJ18" s="165" t="e">
        <f t="shared" ref="AJ18:AJ24" si="25">C865</f>
        <v>#N/A</v>
      </c>
      <c r="AK18" s="165" t="e">
        <f t="shared" ref="AK18:AK24" si="26">C899</f>
        <v>#N/A</v>
      </c>
      <c r="AL18" s="165" t="e">
        <f t="shared" ref="AL18:AL24" si="27">C933</f>
        <v>#N/A</v>
      </c>
      <c r="AM18" s="165" t="e">
        <f t="shared" ref="AM18:AM24" si="28">C967</f>
        <v>#N/A</v>
      </c>
      <c r="AN18" s="165" t="e">
        <f t="shared" ref="AN18:AN24" si="29">C1001</f>
        <v>#N/A</v>
      </c>
      <c r="AO18" s="165" t="e">
        <f t="shared" ref="AO18:AO24" si="30">C1035</f>
        <v>#N/A</v>
      </c>
      <c r="AP18" s="165" t="e">
        <f t="shared" ref="AP18:AP24" si="31">C1069</f>
        <v>#N/A</v>
      </c>
      <c r="AQ18" s="165" t="e">
        <f t="shared" ref="AQ18:AQ24" si="32">C1103</f>
        <v>#N/A</v>
      </c>
      <c r="AR18" s="165" t="e">
        <f t="shared" ref="AR18:AR24" si="33">C1137</f>
        <v>#N/A</v>
      </c>
      <c r="AS18" s="165" t="e">
        <f t="shared" ref="AS18:AS24" si="34">C1171</f>
        <v>#N/A</v>
      </c>
      <c r="AT18" s="165" t="e">
        <f t="shared" ref="AT18:AT24" si="35">C1205</f>
        <v>#N/A</v>
      </c>
      <c r="AU18" s="165" t="e">
        <f t="shared" ref="AU18:AU24" si="36">C1239</f>
        <v>#N/A</v>
      </c>
      <c r="AV18" s="165" t="e">
        <f t="shared" ref="AV18:AV24" si="37">C1273</f>
        <v>#N/A</v>
      </c>
      <c r="AW18" s="165" t="e">
        <f t="shared" ref="AW18:AW24" si="38">C1307</f>
        <v>#N/A</v>
      </c>
      <c r="AX18" s="165" t="e">
        <f t="shared" ref="AX18:AX24" si="39">C1341</f>
        <v>#N/A</v>
      </c>
      <c r="AY18" s="165" t="e">
        <f t="shared" ref="AY18:AY24" si="40">C1375</f>
        <v>#N/A</v>
      </c>
    </row>
    <row r="19" spans="1:54" s="136" customFormat="1" ht="31.5">
      <c r="A19" s="252">
        <v>3</v>
      </c>
      <c r="B19" s="253" t="s">
        <v>2</v>
      </c>
      <c r="C19" s="292">
        <f t="shared" si="0"/>
        <v>923887</v>
      </c>
      <c r="D19" s="293"/>
      <c r="F19" s="242">
        <f>IF('Анализ стоимости'!AO13&gt;0,'Анализ стоимости'!A13,0)</f>
        <v>0</v>
      </c>
      <c r="G19" s="198"/>
      <c r="H19" s="198"/>
      <c r="I19" s="231"/>
      <c r="J19" s="136">
        <v>1</v>
      </c>
      <c r="L19" s="165">
        <f t="shared" si="1"/>
        <v>394073</v>
      </c>
      <c r="M19" s="165">
        <f t="shared" si="2"/>
        <v>529814</v>
      </c>
      <c r="N19" s="165" t="e">
        <f t="shared" si="3"/>
        <v>#N/A</v>
      </c>
      <c r="O19" s="165" t="e">
        <f t="shared" si="4"/>
        <v>#N/A</v>
      </c>
      <c r="P19" s="165" t="e">
        <f t="shared" si="5"/>
        <v>#N/A</v>
      </c>
      <c r="Q19" s="165" t="e">
        <f t="shared" si="6"/>
        <v>#N/A</v>
      </c>
      <c r="R19" s="165" t="e">
        <f t="shared" si="7"/>
        <v>#N/A</v>
      </c>
      <c r="S19" s="165" t="e">
        <f t="shared" si="8"/>
        <v>#N/A</v>
      </c>
      <c r="T19" s="165" t="e">
        <f t="shared" si="9"/>
        <v>#N/A</v>
      </c>
      <c r="U19" s="165" t="e">
        <f t="shared" si="10"/>
        <v>#N/A</v>
      </c>
      <c r="V19" s="165" t="e">
        <f t="shared" si="11"/>
        <v>#N/A</v>
      </c>
      <c r="W19" s="165" t="e">
        <f t="shared" si="12"/>
        <v>#N/A</v>
      </c>
      <c r="X19" s="165" t="e">
        <f t="shared" si="13"/>
        <v>#N/A</v>
      </c>
      <c r="Y19" s="165" t="e">
        <f t="shared" si="14"/>
        <v>#N/A</v>
      </c>
      <c r="Z19" s="165" t="e">
        <f t="shared" si="15"/>
        <v>#N/A</v>
      </c>
      <c r="AA19" s="165" t="e">
        <f t="shared" si="16"/>
        <v>#N/A</v>
      </c>
      <c r="AB19" s="165" t="e">
        <f t="shared" si="17"/>
        <v>#N/A</v>
      </c>
      <c r="AC19" s="165" t="e">
        <f t="shared" si="18"/>
        <v>#N/A</v>
      </c>
      <c r="AD19" s="165" t="e">
        <f t="shared" si="19"/>
        <v>#N/A</v>
      </c>
      <c r="AE19" s="165" t="e">
        <f t="shared" si="20"/>
        <v>#N/A</v>
      </c>
      <c r="AF19" s="165" t="e">
        <f t="shared" si="21"/>
        <v>#N/A</v>
      </c>
      <c r="AG19" s="165" t="e">
        <f t="shared" si="22"/>
        <v>#N/A</v>
      </c>
      <c r="AH19" s="165" t="e">
        <f t="shared" si="23"/>
        <v>#N/A</v>
      </c>
      <c r="AI19" s="165" t="e">
        <f t="shared" si="24"/>
        <v>#N/A</v>
      </c>
      <c r="AJ19" s="165" t="e">
        <f t="shared" si="25"/>
        <v>#N/A</v>
      </c>
      <c r="AK19" s="165" t="e">
        <f t="shared" si="26"/>
        <v>#N/A</v>
      </c>
      <c r="AL19" s="165" t="e">
        <f t="shared" si="27"/>
        <v>#N/A</v>
      </c>
      <c r="AM19" s="165" t="e">
        <f t="shared" si="28"/>
        <v>#N/A</v>
      </c>
      <c r="AN19" s="165" t="e">
        <f t="shared" si="29"/>
        <v>#N/A</v>
      </c>
      <c r="AO19" s="165" t="e">
        <f t="shared" si="30"/>
        <v>#N/A</v>
      </c>
      <c r="AP19" s="165" t="e">
        <f t="shared" si="31"/>
        <v>#N/A</v>
      </c>
      <c r="AQ19" s="165" t="e">
        <f t="shared" si="32"/>
        <v>#N/A</v>
      </c>
      <c r="AR19" s="165" t="e">
        <f t="shared" si="33"/>
        <v>#N/A</v>
      </c>
      <c r="AS19" s="165" t="e">
        <f t="shared" si="34"/>
        <v>#N/A</v>
      </c>
      <c r="AT19" s="165" t="e">
        <f t="shared" si="35"/>
        <v>#N/A</v>
      </c>
      <c r="AU19" s="165" t="e">
        <f t="shared" si="36"/>
        <v>#N/A</v>
      </c>
      <c r="AV19" s="165" t="e">
        <f t="shared" si="37"/>
        <v>#N/A</v>
      </c>
      <c r="AW19" s="165" t="e">
        <f t="shared" si="38"/>
        <v>#N/A</v>
      </c>
      <c r="AX19" s="165" t="e">
        <f t="shared" si="39"/>
        <v>#N/A</v>
      </c>
      <c r="AY19" s="165" t="e">
        <f t="shared" si="40"/>
        <v>#N/A</v>
      </c>
    </row>
    <row r="20" spans="1:54" s="136" customFormat="1">
      <c r="A20" s="252">
        <v>4</v>
      </c>
      <c r="B20" s="253" t="s">
        <v>24</v>
      </c>
      <c r="C20" s="292">
        <f t="shared" si="0"/>
        <v>80877</v>
      </c>
      <c r="D20" s="293"/>
      <c r="F20" s="242">
        <f>IF('Анализ стоимости'!AO14&gt;0,'Анализ стоимости'!A14,0)</f>
        <v>0</v>
      </c>
      <c r="G20" s="198"/>
      <c r="H20" s="198"/>
      <c r="I20" s="231"/>
      <c r="J20" s="136">
        <v>1</v>
      </c>
      <c r="L20" s="165">
        <f t="shared" si="1"/>
        <v>33479</v>
      </c>
      <c r="M20" s="165">
        <f t="shared" si="2"/>
        <v>47398</v>
      </c>
      <c r="N20" s="165" t="e">
        <f t="shared" si="3"/>
        <v>#N/A</v>
      </c>
      <c r="O20" s="165" t="e">
        <f t="shared" si="4"/>
        <v>#N/A</v>
      </c>
      <c r="P20" s="165" t="e">
        <f t="shared" si="5"/>
        <v>#N/A</v>
      </c>
      <c r="Q20" s="165" t="e">
        <f t="shared" si="6"/>
        <v>#N/A</v>
      </c>
      <c r="R20" s="165" t="e">
        <f t="shared" si="7"/>
        <v>#N/A</v>
      </c>
      <c r="S20" s="165" t="e">
        <f t="shared" si="8"/>
        <v>#N/A</v>
      </c>
      <c r="T20" s="165" t="e">
        <f t="shared" si="9"/>
        <v>#N/A</v>
      </c>
      <c r="U20" s="165" t="e">
        <f t="shared" si="10"/>
        <v>#N/A</v>
      </c>
      <c r="V20" s="165" t="e">
        <f t="shared" si="11"/>
        <v>#N/A</v>
      </c>
      <c r="W20" s="165" t="e">
        <f t="shared" si="12"/>
        <v>#N/A</v>
      </c>
      <c r="X20" s="165" t="e">
        <f t="shared" si="13"/>
        <v>#N/A</v>
      </c>
      <c r="Y20" s="165" t="e">
        <f t="shared" si="14"/>
        <v>#N/A</v>
      </c>
      <c r="Z20" s="165" t="e">
        <f t="shared" si="15"/>
        <v>#N/A</v>
      </c>
      <c r="AA20" s="165" t="e">
        <f t="shared" si="16"/>
        <v>#N/A</v>
      </c>
      <c r="AB20" s="165" t="e">
        <f t="shared" si="17"/>
        <v>#N/A</v>
      </c>
      <c r="AC20" s="165" t="e">
        <f t="shared" si="18"/>
        <v>#N/A</v>
      </c>
      <c r="AD20" s="165" t="e">
        <f t="shared" si="19"/>
        <v>#N/A</v>
      </c>
      <c r="AE20" s="165" t="e">
        <f t="shared" si="20"/>
        <v>#N/A</v>
      </c>
      <c r="AF20" s="165" t="e">
        <f t="shared" si="21"/>
        <v>#N/A</v>
      </c>
      <c r="AG20" s="165" t="e">
        <f t="shared" si="22"/>
        <v>#N/A</v>
      </c>
      <c r="AH20" s="165" t="e">
        <f t="shared" si="23"/>
        <v>#N/A</v>
      </c>
      <c r="AI20" s="165" t="e">
        <f t="shared" si="24"/>
        <v>#N/A</v>
      </c>
      <c r="AJ20" s="165" t="e">
        <f t="shared" si="25"/>
        <v>#N/A</v>
      </c>
      <c r="AK20" s="165" t="e">
        <f t="shared" si="26"/>
        <v>#N/A</v>
      </c>
      <c r="AL20" s="165" t="e">
        <f t="shared" si="27"/>
        <v>#N/A</v>
      </c>
      <c r="AM20" s="165" t="e">
        <f t="shared" si="28"/>
        <v>#N/A</v>
      </c>
      <c r="AN20" s="165" t="e">
        <f t="shared" si="29"/>
        <v>#N/A</v>
      </c>
      <c r="AO20" s="165" t="e">
        <f t="shared" si="30"/>
        <v>#N/A</v>
      </c>
      <c r="AP20" s="165" t="e">
        <f t="shared" si="31"/>
        <v>#N/A</v>
      </c>
      <c r="AQ20" s="165" t="e">
        <f t="shared" si="32"/>
        <v>#N/A</v>
      </c>
      <c r="AR20" s="165" t="e">
        <f t="shared" si="33"/>
        <v>#N/A</v>
      </c>
      <c r="AS20" s="165" t="e">
        <f t="shared" si="34"/>
        <v>#N/A</v>
      </c>
      <c r="AT20" s="165" t="e">
        <f t="shared" si="35"/>
        <v>#N/A</v>
      </c>
      <c r="AU20" s="165" t="e">
        <f t="shared" si="36"/>
        <v>#N/A</v>
      </c>
      <c r="AV20" s="165" t="e">
        <f t="shared" si="37"/>
        <v>#N/A</v>
      </c>
      <c r="AW20" s="165" t="e">
        <f t="shared" si="38"/>
        <v>#N/A</v>
      </c>
      <c r="AX20" s="165" t="e">
        <f t="shared" si="39"/>
        <v>#N/A</v>
      </c>
      <c r="AY20" s="165" t="e">
        <f t="shared" si="40"/>
        <v>#N/A</v>
      </c>
    </row>
    <row r="21" spans="1:54" s="136" customFormat="1">
      <c r="A21" s="252">
        <v>5</v>
      </c>
      <c r="B21" s="253" t="s">
        <v>5</v>
      </c>
      <c r="C21" s="292">
        <f t="shared" si="0"/>
        <v>43718</v>
      </c>
      <c r="D21" s="293"/>
      <c r="F21" s="242">
        <f>IF('Анализ стоимости'!AO15&gt;0,'Анализ стоимости'!A15,0)</f>
        <v>0</v>
      </c>
      <c r="G21" s="198"/>
      <c r="H21" s="198"/>
      <c r="I21" s="231"/>
      <c r="J21" s="136">
        <v>1</v>
      </c>
      <c r="L21" s="165">
        <f t="shared" si="1"/>
        <v>18121</v>
      </c>
      <c r="M21" s="165">
        <f t="shared" si="2"/>
        <v>25597</v>
      </c>
      <c r="N21" s="165" t="e">
        <f t="shared" si="3"/>
        <v>#N/A</v>
      </c>
      <c r="O21" s="165" t="e">
        <f t="shared" si="4"/>
        <v>#N/A</v>
      </c>
      <c r="P21" s="165" t="e">
        <f t="shared" si="5"/>
        <v>#N/A</v>
      </c>
      <c r="Q21" s="165" t="e">
        <f t="shared" si="6"/>
        <v>#N/A</v>
      </c>
      <c r="R21" s="165" t="e">
        <f t="shared" si="7"/>
        <v>#N/A</v>
      </c>
      <c r="S21" s="165" t="e">
        <f t="shared" si="8"/>
        <v>#N/A</v>
      </c>
      <c r="T21" s="165" t="e">
        <f t="shared" si="9"/>
        <v>#N/A</v>
      </c>
      <c r="U21" s="165" t="e">
        <f t="shared" si="10"/>
        <v>#N/A</v>
      </c>
      <c r="V21" s="165" t="e">
        <f t="shared" si="11"/>
        <v>#N/A</v>
      </c>
      <c r="W21" s="165" t="e">
        <f t="shared" si="12"/>
        <v>#N/A</v>
      </c>
      <c r="X21" s="165" t="e">
        <f t="shared" si="13"/>
        <v>#N/A</v>
      </c>
      <c r="Y21" s="165" t="e">
        <f t="shared" si="14"/>
        <v>#N/A</v>
      </c>
      <c r="Z21" s="165" t="e">
        <f t="shared" si="15"/>
        <v>#N/A</v>
      </c>
      <c r="AA21" s="165" t="e">
        <f t="shared" si="16"/>
        <v>#N/A</v>
      </c>
      <c r="AB21" s="165" t="e">
        <f t="shared" si="17"/>
        <v>#N/A</v>
      </c>
      <c r="AC21" s="165" t="e">
        <f t="shared" si="18"/>
        <v>#N/A</v>
      </c>
      <c r="AD21" s="165" t="e">
        <f t="shared" si="19"/>
        <v>#N/A</v>
      </c>
      <c r="AE21" s="165" t="e">
        <f t="shared" si="20"/>
        <v>#N/A</v>
      </c>
      <c r="AF21" s="165" t="e">
        <f t="shared" si="21"/>
        <v>#N/A</v>
      </c>
      <c r="AG21" s="165" t="e">
        <f t="shared" si="22"/>
        <v>#N/A</v>
      </c>
      <c r="AH21" s="165" t="e">
        <f t="shared" si="23"/>
        <v>#N/A</v>
      </c>
      <c r="AI21" s="165" t="e">
        <f t="shared" si="24"/>
        <v>#N/A</v>
      </c>
      <c r="AJ21" s="165" t="e">
        <f t="shared" si="25"/>
        <v>#N/A</v>
      </c>
      <c r="AK21" s="165" t="e">
        <f t="shared" si="26"/>
        <v>#N/A</v>
      </c>
      <c r="AL21" s="165" t="e">
        <f t="shared" si="27"/>
        <v>#N/A</v>
      </c>
      <c r="AM21" s="165" t="e">
        <f t="shared" si="28"/>
        <v>#N/A</v>
      </c>
      <c r="AN21" s="165" t="e">
        <f t="shared" si="29"/>
        <v>#N/A</v>
      </c>
      <c r="AO21" s="165" t="e">
        <f t="shared" si="30"/>
        <v>#N/A</v>
      </c>
      <c r="AP21" s="165" t="e">
        <f t="shared" si="31"/>
        <v>#N/A</v>
      </c>
      <c r="AQ21" s="165" t="e">
        <f t="shared" si="32"/>
        <v>#N/A</v>
      </c>
      <c r="AR21" s="165" t="e">
        <f t="shared" si="33"/>
        <v>#N/A</v>
      </c>
      <c r="AS21" s="165" t="e">
        <f t="shared" si="34"/>
        <v>#N/A</v>
      </c>
      <c r="AT21" s="165" t="e">
        <f t="shared" si="35"/>
        <v>#N/A</v>
      </c>
      <c r="AU21" s="165" t="e">
        <f t="shared" si="36"/>
        <v>#N/A</v>
      </c>
      <c r="AV21" s="165" t="e">
        <f t="shared" si="37"/>
        <v>#N/A</v>
      </c>
      <c r="AW21" s="165" t="e">
        <f t="shared" si="38"/>
        <v>#N/A</v>
      </c>
      <c r="AX21" s="165" t="e">
        <f t="shared" si="39"/>
        <v>#N/A</v>
      </c>
      <c r="AY21" s="165" t="e">
        <f t="shared" si="40"/>
        <v>#N/A</v>
      </c>
    </row>
    <row r="22" spans="1:54" s="136" customFormat="1">
      <c r="A22" s="252">
        <v>6</v>
      </c>
      <c r="B22" s="253" t="s">
        <v>10</v>
      </c>
      <c r="C22" s="292">
        <f t="shared" si="0"/>
        <v>0</v>
      </c>
      <c r="D22" s="293"/>
      <c r="F22" s="242">
        <f>IF('Анализ стоимости'!AO16&gt;0,'Анализ стоимости'!A16,0)</f>
        <v>0</v>
      </c>
      <c r="G22" s="198"/>
      <c r="H22" s="198"/>
      <c r="I22" s="231"/>
      <c r="J22" s="136">
        <v>1</v>
      </c>
      <c r="L22" s="165">
        <f t="shared" si="1"/>
        <v>0</v>
      </c>
      <c r="M22" s="165">
        <f t="shared" si="2"/>
        <v>0</v>
      </c>
      <c r="N22" s="165" t="e">
        <f t="shared" si="3"/>
        <v>#N/A</v>
      </c>
      <c r="O22" s="165" t="e">
        <f t="shared" si="4"/>
        <v>#N/A</v>
      </c>
      <c r="P22" s="165" t="e">
        <f t="shared" si="5"/>
        <v>#N/A</v>
      </c>
      <c r="Q22" s="165" t="e">
        <f t="shared" si="6"/>
        <v>#N/A</v>
      </c>
      <c r="R22" s="165" t="e">
        <f t="shared" si="7"/>
        <v>#N/A</v>
      </c>
      <c r="S22" s="165" t="e">
        <f t="shared" si="8"/>
        <v>#N/A</v>
      </c>
      <c r="T22" s="165" t="e">
        <f t="shared" si="9"/>
        <v>#N/A</v>
      </c>
      <c r="U22" s="165" t="e">
        <f t="shared" si="10"/>
        <v>#N/A</v>
      </c>
      <c r="V22" s="165" t="e">
        <f t="shared" si="11"/>
        <v>#N/A</v>
      </c>
      <c r="W22" s="165" t="e">
        <f t="shared" si="12"/>
        <v>#N/A</v>
      </c>
      <c r="X22" s="165" t="e">
        <f t="shared" si="13"/>
        <v>#N/A</v>
      </c>
      <c r="Y22" s="165" t="e">
        <f t="shared" si="14"/>
        <v>#N/A</v>
      </c>
      <c r="Z22" s="165" t="e">
        <f t="shared" si="15"/>
        <v>#N/A</v>
      </c>
      <c r="AA22" s="165" t="e">
        <f t="shared" si="16"/>
        <v>#N/A</v>
      </c>
      <c r="AB22" s="165" t="e">
        <f t="shared" si="17"/>
        <v>#N/A</v>
      </c>
      <c r="AC22" s="165" t="e">
        <f t="shared" si="18"/>
        <v>#N/A</v>
      </c>
      <c r="AD22" s="165" t="e">
        <f t="shared" si="19"/>
        <v>#N/A</v>
      </c>
      <c r="AE22" s="165" t="e">
        <f t="shared" si="20"/>
        <v>#N/A</v>
      </c>
      <c r="AF22" s="165" t="e">
        <f t="shared" si="21"/>
        <v>#N/A</v>
      </c>
      <c r="AG22" s="165" t="e">
        <f t="shared" si="22"/>
        <v>#N/A</v>
      </c>
      <c r="AH22" s="165" t="e">
        <f t="shared" si="23"/>
        <v>#N/A</v>
      </c>
      <c r="AI22" s="165" t="e">
        <f t="shared" si="24"/>
        <v>#N/A</v>
      </c>
      <c r="AJ22" s="165" t="e">
        <f t="shared" si="25"/>
        <v>#N/A</v>
      </c>
      <c r="AK22" s="165" t="e">
        <f t="shared" si="26"/>
        <v>#N/A</v>
      </c>
      <c r="AL22" s="165" t="e">
        <f t="shared" si="27"/>
        <v>#N/A</v>
      </c>
      <c r="AM22" s="165" t="e">
        <f t="shared" si="28"/>
        <v>#N/A</v>
      </c>
      <c r="AN22" s="165" t="e">
        <f t="shared" si="29"/>
        <v>#N/A</v>
      </c>
      <c r="AO22" s="165" t="e">
        <f t="shared" si="30"/>
        <v>#N/A</v>
      </c>
      <c r="AP22" s="165" t="e">
        <f t="shared" si="31"/>
        <v>#N/A</v>
      </c>
      <c r="AQ22" s="165" t="e">
        <f t="shared" si="32"/>
        <v>#N/A</v>
      </c>
      <c r="AR22" s="165" t="e">
        <f t="shared" si="33"/>
        <v>#N/A</v>
      </c>
      <c r="AS22" s="165" t="e">
        <f t="shared" si="34"/>
        <v>#N/A</v>
      </c>
      <c r="AT22" s="165" t="e">
        <f t="shared" si="35"/>
        <v>#N/A</v>
      </c>
      <c r="AU22" s="165" t="e">
        <f t="shared" si="36"/>
        <v>#N/A</v>
      </c>
      <c r="AV22" s="165" t="e">
        <f t="shared" si="37"/>
        <v>#N/A</v>
      </c>
      <c r="AW22" s="165" t="e">
        <f t="shared" si="38"/>
        <v>#N/A</v>
      </c>
      <c r="AX22" s="165" t="e">
        <f t="shared" si="39"/>
        <v>#N/A</v>
      </c>
      <c r="AY22" s="165" t="e">
        <f t="shared" si="40"/>
        <v>#N/A</v>
      </c>
    </row>
    <row r="23" spans="1:54" s="136" customFormat="1">
      <c r="A23" s="252">
        <v>7</v>
      </c>
      <c r="B23" s="253" t="s">
        <v>79</v>
      </c>
      <c r="C23" s="292">
        <f t="shared" si="0"/>
        <v>11926</v>
      </c>
      <c r="D23" s="293"/>
      <c r="F23" s="242">
        <f>IF('Анализ стоимости'!AO17&gt;0,'Анализ стоимости'!A17,0)</f>
        <v>0</v>
      </c>
      <c r="G23" s="198"/>
      <c r="H23" s="198"/>
      <c r="I23" s="231"/>
      <c r="J23" s="136">
        <v>1</v>
      </c>
      <c r="L23" s="165">
        <f t="shared" si="1"/>
        <v>5021</v>
      </c>
      <c r="M23" s="165">
        <f t="shared" si="2"/>
        <v>6905</v>
      </c>
      <c r="N23" s="165" t="e">
        <f t="shared" si="3"/>
        <v>#N/A</v>
      </c>
      <c r="O23" s="165" t="e">
        <f t="shared" si="4"/>
        <v>#N/A</v>
      </c>
      <c r="P23" s="165" t="e">
        <f t="shared" si="5"/>
        <v>#N/A</v>
      </c>
      <c r="Q23" s="165" t="e">
        <f t="shared" si="6"/>
        <v>#N/A</v>
      </c>
      <c r="R23" s="165" t="e">
        <f t="shared" si="7"/>
        <v>#N/A</v>
      </c>
      <c r="S23" s="165" t="e">
        <f t="shared" si="8"/>
        <v>#N/A</v>
      </c>
      <c r="T23" s="165" t="e">
        <f t="shared" si="9"/>
        <v>#N/A</v>
      </c>
      <c r="U23" s="165" t="e">
        <f t="shared" si="10"/>
        <v>#N/A</v>
      </c>
      <c r="V23" s="165" t="e">
        <f t="shared" si="11"/>
        <v>#N/A</v>
      </c>
      <c r="W23" s="165" t="e">
        <f t="shared" si="12"/>
        <v>#N/A</v>
      </c>
      <c r="X23" s="165" t="e">
        <f t="shared" si="13"/>
        <v>#N/A</v>
      </c>
      <c r="Y23" s="165" t="e">
        <f t="shared" si="14"/>
        <v>#N/A</v>
      </c>
      <c r="Z23" s="165" t="e">
        <f t="shared" si="15"/>
        <v>#N/A</v>
      </c>
      <c r="AA23" s="165" t="e">
        <f t="shared" si="16"/>
        <v>#N/A</v>
      </c>
      <c r="AB23" s="165" t="e">
        <f t="shared" si="17"/>
        <v>#N/A</v>
      </c>
      <c r="AC23" s="165" t="e">
        <f t="shared" si="18"/>
        <v>#N/A</v>
      </c>
      <c r="AD23" s="165" t="e">
        <f t="shared" si="19"/>
        <v>#N/A</v>
      </c>
      <c r="AE23" s="165" t="e">
        <f t="shared" si="20"/>
        <v>#N/A</v>
      </c>
      <c r="AF23" s="165" t="e">
        <f t="shared" si="21"/>
        <v>#N/A</v>
      </c>
      <c r="AG23" s="165" t="e">
        <f t="shared" si="22"/>
        <v>#N/A</v>
      </c>
      <c r="AH23" s="165" t="e">
        <f t="shared" si="23"/>
        <v>#N/A</v>
      </c>
      <c r="AI23" s="165" t="e">
        <f t="shared" si="24"/>
        <v>#N/A</v>
      </c>
      <c r="AJ23" s="165" t="e">
        <f t="shared" si="25"/>
        <v>#N/A</v>
      </c>
      <c r="AK23" s="165" t="e">
        <f t="shared" si="26"/>
        <v>#N/A</v>
      </c>
      <c r="AL23" s="165" t="e">
        <f t="shared" si="27"/>
        <v>#N/A</v>
      </c>
      <c r="AM23" s="165" t="e">
        <f t="shared" si="28"/>
        <v>#N/A</v>
      </c>
      <c r="AN23" s="165" t="e">
        <f t="shared" si="29"/>
        <v>#N/A</v>
      </c>
      <c r="AO23" s="165" t="e">
        <f t="shared" si="30"/>
        <v>#N/A</v>
      </c>
      <c r="AP23" s="165" t="e">
        <f t="shared" si="31"/>
        <v>#N/A</v>
      </c>
      <c r="AQ23" s="165" t="e">
        <f t="shared" si="32"/>
        <v>#N/A</v>
      </c>
      <c r="AR23" s="165" t="e">
        <f t="shared" si="33"/>
        <v>#N/A</v>
      </c>
      <c r="AS23" s="165" t="e">
        <f t="shared" si="34"/>
        <v>#N/A</v>
      </c>
      <c r="AT23" s="165" t="e">
        <f t="shared" si="35"/>
        <v>#N/A</v>
      </c>
      <c r="AU23" s="165" t="e">
        <f t="shared" si="36"/>
        <v>#N/A</v>
      </c>
      <c r="AV23" s="165" t="e">
        <f t="shared" si="37"/>
        <v>#N/A</v>
      </c>
      <c r="AW23" s="165" t="e">
        <f t="shared" si="38"/>
        <v>#N/A</v>
      </c>
      <c r="AX23" s="165" t="e">
        <f t="shared" si="39"/>
        <v>#N/A</v>
      </c>
      <c r="AY23" s="165" t="e">
        <f t="shared" si="40"/>
        <v>#N/A</v>
      </c>
    </row>
    <row r="24" spans="1:54" s="136" customFormat="1">
      <c r="A24" s="252">
        <v>8</v>
      </c>
      <c r="B24" s="253" t="s">
        <v>46</v>
      </c>
      <c r="C24" s="292">
        <f t="shared" si="0"/>
        <v>0</v>
      </c>
      <c r="D24" s="293"/>
      <c r="F24" s="242">
        <f>IF('Анализ стоимости'!AO18&gt;0,'Анализ стоимости'!A18,0)</f>
        <v>0</v>
      </c>
      <c r="G24" s="198"/>
      <c r="H24" s="198"/>
      <c r="I24" s="231"/>
      <c r="J24" s="136">
        <v>1</v>
      </c>
      <c r="L24" s="165">
        <f t="shared" si="1"/>
        <v>0</v>
      </c>
      <c r="M24" s="165">
        <f t="shared" si="2"/>
        <v>0</v>
      </c>
      <c r="N24" s="165" t="e">
        <f t="shared" si="3"/>
        <v>#N/A</v>
      </c>
      <c r="O24" s="165" t="e">
        <f t="shared" si="4"/>
        <v>#N/A</v>
      </c>
      <c r="P24" s="165" t="e">
        <f t="shared" si="5"/>
        <v>#N/A</v>
      </c>
      <c r="Q24" s="165" t="e">
        <f t="shared" si="6"/>
        <v>#N/A</v>
      </c>
      <c r="R24" s="165" t="e">
        <f t="shared" si="7"/>
        <v>#N/A</v>
      </c>
      <c r="S24" s="165" t="e">
        <f t="shared" si="8"/>
        <v>#N/A</v>
      </c>
      <c r="T24" s="165" t="e">
        <f t="shared" si="9"/>
        <v>#N/A</v>
      </c>
      <c r="U24" s="165" t="e">
        <f t="shared" si="10"/>
        <v>#N/A</v>
      </c>
      <c r="V24" s="165" t="e">
        <f t="shared" si="11"/>
        <v>#N/A</v>
      </c>
      <c r="W24" s="165" t="e">
        <f t="shared" si="12"/>
        <v>#N/A</v>
      </c>
      <c r="X24" s="165" t="e">
        <f t="shared" si="13"/>
        <v>#N/A</v>
      </c>
      <c r="Y24" s="165" t="e">
        <f t="shared" si="14"/>
        <v>#N/A</v>
      </c>
      <c r="Z24" s="165" t="e">
        <f t="shared" si="15"/>
        <v>#N/A</v>
      </c>
      <c r="AA24" s="165" t="e">
        <f t="shared" si="16"/>
        <v>#N/A</v>
      </c>
      <c r="AB24" s="165" t="e">
        <f t="shared" si="17"/>
        <v>#N/A</v>
      </c>
      <c r="AC24" s="165" t="e">
        <f t="shared" si="18"/>
        <v>#N/A</v>
      </c>
      <c r="AD24" s="165" t="e">
        <f t="shared" si="19"/>
        <v>#N/A</v>
      </c>
      <c r="AE24" s="165" t="e">
        <f t="shared" si="20"/>
        <v>#N/A</v>
      </c>
      <c r="AF24" s="165" t="e">
        <f t="shared" si="21"/>
        <v>#N/A</v>
      </c>
      <c r="AG24" s="165" t="e">
        <f t="shared" si="22"/>
        <v>#N/A</v>
      </c>
      <c r="AH24" s="165" t="e">
        <f t="shared" si="23"/>
        <v>#N/A</v>
      </c>
      <c r="AI24" s="165" t="e">
        <f t="shared" si="24"/>
        <v>#N/A</v>
      </c>
      <c r="AJ24" s="165" t="e">
        <f t="shared" si="25"/>
        <v>#N/A</v>
      </c>
      <c r="AK24" s="165" t="e">
        <f t="shared" si="26"/>
        <v>#N/A</v>
      </c>
      <c r="AL24" s="165" t="e">
        <f t="shared" si="27"/>
        <v>#N/A</v>
      </c>
      <c r="AM24" s="165" t="e">
        <f t="shared" si="28"/>
        <v>#N/A</v>
      </c>
      <c r="AN24" s="165" t="e">
        <f t="shared" si="29"/>
        <v>#N/A</v>
      </c>
      <c r="AO24" s="165" t="e">
        <f t="shared" si="30"/>
        <v>#N/A</v>
      </c>
      <c r="AP24" s="165" t="e">
        <f t="shared" si="31"/>
        <v>#N/A</v>
      </c>
      <c r="AQ24" s="165" t="e">
        <f t="shared" si="32"/>
        <v>#N/A</v>
      </c>
      <c r="AR24" s="165" t="e">
        <f t="shared" si="33"/>
        <v>#N/A</v>
      </c>
      <c r="AS24" s="165" t="e">
        <f t="shared" si="34"/>
        <v>#N/A</v>
      </c>
      <c r="AT24" s="165" t="e">
        <f t="shared" si="35"/>
        <v>#N/A</v>
      </c>
      <c r="AU24" s="165" t="e">
        <f t="shared" si="36"/>
        <v>#N/A</v>
      </c>
      <c r="AV24" s="165" t="e">
        <f t="shared" si="37"/>
        <v>#N/A</v>
      </c>
      <c r="AW24" s="165" t="e">
        <f t="shared" si="38"/>
        <v>#N/A</v>
      </c>
      <c r="AX24" s="165" t="e">
        <f t="shared" si="39"/>
        <v>#N/A</v>
      </c>
      <c r="AY24" s="165" t="e">
        <f t="shared" si="40"/>
        <v>#N/A</v>
      </c>
    </row>
    <row r="25" spans="1:54" s="136" customFormat="1">
      <c r="A25" s="252">
        <v>9</v>
      </c>
      <c r="B25" s="253" t="s">
        <v>169</v>
      </c>
      <c r="C25" s="292">
        <f>SUM(C17:D24)</f>
        <v>1204505</v>
      </c>
      <c r="D25" s="293"/>
      <c r="E25" s="254">
        <f>VLOOKUP($F$8,'Анализ стоимости'!$A$4:$DK$59,41,0)</f>
        <v>1204505</v>
      </c>
      <c r="F25" s="242">
        <f>IF('Анализ стоимости'!AO19&gt;0,'Анализ стоимости'!A19,0)</f>
        <v>0</v>
      </c>
      <c r="G25" s="198"/>
      <c r="H25" s="198"/>
      <c r="I25" s="231"/>
      <c r="J25" s="136">
        <v>1</v>
      </c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</row>
    <row r="26" spans="1:54">
      <c r="A26" s="294" t="s">
        <v>161</v>
      </c>
      <c r="B26" s="294"/>
      <c r="C26" s="294"/>
      <c r="D26" s="294"/>
      <c r="F26" s="242">
        <f>IF('Анализ стоимости'!AO20&gt;0,'Анализ стоимости'!A20,0)</f>
        <v>0</v>
      </c>
      <c r="J26" s="171">
        <v>1</v>
      </c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</row>
    <row r="27" spans="1:54" ht="31.5">
      <c r="A27" s="255" t="s">
        <v>53</v>
      </c>
      <c r="B27" s="249" t="s">
        <v>15</v>
      </c>
      <c r="C27" s="249" t="s">
        <v>152</v>
      </c>
      <c r="D27" s="249" t="s">
        <v>88</v>
      </c>
      <c r="F27" s="242">
        <f>IF('Анализ стоимости'!AO21&gt;0,'Анализ стоимости'!A21,0)</f>
        <v>0</v>
      </c>
      <c r="J27" s="171">
        <v>1</v>
      </c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256"/>
      <c r="AK27" s="256"/>
      <c r="AL27" s="256"/>
      <c r="AM27" s="256"/>
      <c r="AN27" s="256"/>
      <c r="AO27" s="256"/>
      <c r="AP27" s="256"/>
      <c r="AQ27" s="256"/>
      <c r="AR27" s="256"/>
      <c r="AS27" s="256"/>
      <c r="AT27" s="256"/>
      <c r="AU27" s="256"/>
      <c r="AV27" s="256"/>
      <c r="AW27" s="256"/>
      <c r="AX27" s="256"/>
      <c r="AY27" s="256"/>
    </row>
    <row r="28" spans="1:54" s="136" customFormat="1">
      <c r="A28" s="252">
        <f>IF(D28=0,0,A25+1)</f>
        <v>10</v>
      </c>
      <c r="B28" s="253" t="s">
        <v>154</v>
      </c>
      <c r="C28" s="252" t="s">
        <v>156</v>
      </c>
      <c r="D28" s="257">
        <f>SUMIF(L28:AY28,$L$16)</f>
        <v>83110</v>
      </c>
      <c r="F28" s="242">
        <f>IF('Анализ стоимости'!AO22&gt;0,'Анализ стоимости'!A22,0)</f>
        <v>0</v>
      </c>
      <c r="G28" s="198"/>
      <c r="H28" s="198"/>
      <c r="I28" s="231"/>
      <c r="J28" s="136">
        <f t="shared" ref="J28:J37" si="41">IF(D28=0,"",1)</f>
        <v>1</v>
      </c>
      <c r="L28" s="165">
        <f>D62</f>
        <v>34992</v>
      </c>
      <c r="M28" s="165">
        <f>D96</f>
        <v>48118</v>
      </c>
      <c r="N28" s="165" t="e">
        <f>D130</f>
        <v>#N/A</v>
      </c>
      <c r="O28" s="165" t="e">
        <f>D164</f>
        <v>#N/A</v>
      </c>
      <c r="P28" s="165" t="e">
        <f>D198</f>
        <v>#N/A</v>
      </c>
      <c r="Q28" s="165" t="e">
        <f>D232</f>
        <v>#N/A</v>
      </c>
      <c r="R28" s="165" t="e">
        <f>D266</f>
        <v>#N/A</v>
      </c>
      <c r="S28" s="165" t="e">
        <f>D300</f>
        <v>#N/A</v>
      </c>
      <c r="T28" s="165" t="e">
        <f>D334</f>
        <v>#N/A</v>
      </c>
      <c r="U28" s="165" t="e">
        <f>D368</f>
        <v>#N/A</v>
      </c>
      <c r="V28" s="165" t="e">
        <f>D402</f>
        <v>#N/A</v>
      </c>
      <c r="W28" s="165" t="e">
        <f>D436</f>
        <v>#N/A</v>
      </c>
      <c r="X28" s="165" t="e">
        <f>D470</f>
        <v>#N/A</v>
      </c>
      <c r="Y28" s="165" t="e">
        <f>D504</f>
        <v>#N/A</v>
      </c>
      <c r="Z28" s="165" t="e">
        <f>D538</f>
        <v>#N/A</v>
      </c>
      <c r="AA28" s="165" t="e">
        <f>D572</f>
        <v>#N/A</v>
      </c>
      <c r="AB28" s="165" t="e">
        <f>D606</f>
        <v>#N/A</v>
      </c>
      <c r="AC28" s="165" t="e">
        <f>D640</f>
        <v>#N/A</v>
      </c>
      <c r="AD28" s="165" t="e">
        <f>D674</f>
        <v>#N/A</v>
      </c>
      <c r="AE28" s="165" t="e">
        <f>D708</f>
        <v>#N/A</v>
      </c>
      <c r="AF28" s="165" t="e">
        <f>D742</f>
        <v>#N/A</v>
      </c>
      <c r="AG28" s="165" t="e">
        <f>D776</f>
        <v>#N/A</v>
      </c>
      <c r="AH28" s="165" t="e">
        <f>D810</f>
        <v>#N/A</v>
      </c>
      <c r="AI28" s="165" t="e">
        <f>D844</f>
        <v>#N/A</v>
      </c>
      <c r="AJ28" s="165" t="e">
        <f>D878</f>
        <v>#N/A</v>
      </c>
      <c r="AK28" s="165" t="e">
        <f>D912</f>
        <v>#N/A</v>
      </c>
      <c r="AL28" s="165" t="e">
        <f>D946</f>
        <v>#N/A</v>
      </c>
      <c r="AM28" s="165" t="e">
        <f>D980</f>
        <v>#N/A</v>
      </c>
      <c r="AN28" s="165" t="e">
        <f>D1014</f>
        <v>#N/A</v>
      </c>
      <c r="AO28" s="165" t="e">
        <f>D1048</f>
        <v>#N/A</v>
      </c>
      <c r="AP28" s="165" t="e">
        <f>D1082</f>
        <v>#N/A</v>
      </c>
      <c r="AQ28" s="165" t="e">
        <f>D1116</f>
        <v>#N/A</v>
      </c>
      <c r="AR28" s="165" t="e">
        <f>D1150</f>
        <v>#N/A</v>
      </c>
      <c r="AS28" s="165" t="e">
        <f>D1184</f>
        <v>#N/A</v>
      </c>
      <c r="AT28" s="165" t="e">
        <f>D1218</f>
        <v>#N/A</v>
      </c>
      <c r="AU28" s="165" t="e">
        <f>D1252</f>
        <v>#N/A</v>
      </c>
      <c r="AV28" s="165" t="e">
        <f>D1286</f>
        <v>#N/A</v>
      </c>
      <c r="AW28" s="165" t="e">
        <f>D1320</f>
        <v>#N/A</v>
      </c>
      <c r="AX28" s="165" t="e">
        <f>D1354</f>
        <v>#N/A</v>
      </c>
      <c r="AY28" s="165" t="e">
        <f>D1388</f>
        <v>#N/A</v>
      </c>
    </row>
    <row r="29" spans="1:54" s="136" customFormat="1">
      <c r="A29" s="252">
        <f>IF(D29=0,0,IF(D28=0,A25+1,A28+1))</f>
        <v>0</v>
      </c>
      <c r="B29" s="253" t="s">
        <v>155</v>
      </c>
      <c r="C29" s="252" t="s">
        <v>156</v>
      </c>
      <c r="D29" s="257">
        <f>SUMIF(L29:AY29,$L$16)</f>
        <v>0</v>
      </c>
      <c r="F29" s="242">
        <f>IF('Анализ стоимости'!AO23&gt;0,'Анализ стоимости'!A23,0)</f>
        <v>0</v>
      </c>
      <c r="G29" s="198"/>
      <c r="H29" s="198"/>
      <c r="I29" s="231"/>
      <c r="J29" s="136" t="str">
        <f t="shared" si="41"/>
        <v/>
      </c>
      <c r="L29" s="165">
        <f>D63</f>
        <v>0</v>
      </c>
      <c r="M29" s="165">
        <f>D97</f>
        <v>0</v>
      </c>
      <c r="N29" s="165" t="e">
        <f>D131</f>
        <v>#N/A</v>
      </c>
      <c r="O29" s="165" t="e">
        <f>D165</f>
        <v>#N/A</v>
      </c>
      <c r="P29" s="165" t="e">
        <f>D199</f>
        <v>#N/A</v>
      </c>
      <c r="Q29" s="165" t="e">
        <f>D233</f>
        <v>#N/A</v>
      </c>
      <c r="R29" s="165" t="e">
        <f>D267</f>
        <v>#N/A</v>
      </c>
      <c r="S29" s="165" t="e">
        <f>D301</f>
        <v>#N/A</v>
      </c>
      <c r="T29" s="165" t="e">
        <f>D335</f>
        <v>#N/A</v>
      </c>
      <c r="U29" s="165" t="e">
        <f>D369</f>
        <v>#N/A</v>
      </c>
      <c r="V29" s="165" t="e">
        <f>D403</f>
        <v>#N/A</v>
      </c>
      <c r="W29" s="165" t="e">
        <f>D437</f>
        <v>#N/A</v>
      </c>
      <c r="X29" s="165" t="e">
        <f>D471</f>
        <v>#N/A</v>
      </c>
      <c r="Y29" s="165" t="e">
        <f>D505</f>
        <v>#N/A</v>
      </c>
      <c r="Z29" s="165" t="e">
        <f>D539</f>
        <v>#N/A</v>
      </c>
      <c r="AA29" s="165" t="e">
        <f>D573</f>
        <v>#N/A</v>
      </c>
      <c r="AB29" s="165" t="e">
        <f>D607</f>
        <v>#N/A</v>
      </c>
      <c r="AC29" s="165" t="e">
        <f>D641</f>
        <v>#N/A</v>
      </c>
      <c r="AD29" s="165" t="e">
        <f>D675</f>
        <v>#N/A</v>
      </c>
      <c r="AE29" s="165" t="e">
        <f>D709</f>
        <v>#N/A</v>
      </c>
      <c r="AF29" s="165" t="e">
        <f>D743</f>
        <v>#N/A</v>
      </c>
      <c r="AG29" s="165" t="e">
        <f>D777</f>
        <v>#N/A</v>
      </c>
      <c r="AH29" s="165" t="e">
        <f>D811</f>
        <v>#N/A</v>
      </c>
      <c r="AI29" s="165" t="e">
        <f>D845</f>
        <v>#N/A</v>
      </c>
      <c r="AJ29" s="165" t="e">
        <f>D879</f>
        <v>#N/A</v>
      </c>
      <c r="AK29" s="165" t="e">
        <f>D913</f>
        <v>#N/A</v>
      </c>
      <c r="AL29" s="165" t="e">
        <f>D947</f>
        <v>#N/A</v>
      </c>
      <c r="AM29" s="165" t="e">
        <f>D981</f>
        <v>#N/A</v>
      </c>
      <c r="AN29" s="165" t="e">
        <f>D1015</f>
        <v>#N/A</v>
      </c>
      <c r="AO29" s="165" t="e">
        <f>D1049</f>
        <v>#N/A</v>
      </c>
      <c r="AP29" s="165" t="e">
        <f>D1083</f>
        <v>#N/A</v>
      </c>
      <c r="AQ29" s="165" t="e">
        <f>D1117</f>
        <v>#N/A</v>
      </c>
      <c r="AR29" s="165" t="e">
        <f>D1151</f>
        <v>#N/A</v>
      </c>
      <c r="AS29" s="165" t="e">
        <f>D1185</f>
        <v>#N/A</v>
      </c>
      <c r="AT29" s="165" t="e">
        <f>D1219</f>
        <v>#N/A</v>
      </c>
      <c r="AU29" s="165" t="e">
        <f>D1253</f>
        <v>#N/A</v>
      </c>
      <c r="AV29" s="165" t="e">
        <f>D1287</f>
        <v>#N/A</v>
      </c>
      <c r="AW29" s="165" t="e">
        <f>D1321</f>
        <v>#N/A</v>
      </c>
      <c r="AX29" s="165" t="e">
        <f>D1355</f>
        <v>#N/A</v>
      </c>
      <c r="AY29" s="165" t="e">
        <f>D1389</f>
        <v>#N/A</v>
      </c>
    </row>
    <row r="30" spans="1:54">
      <c r="A30" s="294" t="s">
        <v>157</v>
      </c>
      <c r="B30" s="294"/>
      <c r="C30" s="294"/>
      <c r="D30" s="294"/>
      <c r="F30" s="242">
        <f>IF('Анализ стоимости'!AO24&gt;0,'Анализ стоимости'!A24,0)</f>
        <v>0</v>
      </c>
      <c r="J30" s="171">
        <v>1</v>
      </c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</row>
    <row r="31" spans="1:54" s="136" customFormat="1" ht="31.5">
      <c r="A31" s="252">
        <f>IF(D31=0,0,IF(D29=0,IF(D28=0,A25+1,A28+1),A29+1))</f>
        <v>11</v>
      </c>
      <c r="B31" s="258" t="s">
        <v>206</v>
      </c>
      <c r="C31" s="252" t="s">
        <v>156</v>
      </c>
      <c r="D31" s="257">
        <f>SUMIF(L31:AY31,$L$16)</f>
        <v>1287615</v>
      </c>
      <c r="F31" s="242">
        <f>IF('Анализ стоимости'!AO25&gt;0,'Анализ стоимости'!A25,0)</f>
        <v>0</v>
      </c>
      <c r="G31" s="198"/>
      <c r="H31" s="198"/>
      <c r="I31" s="231"/>
      <c r="J31" s="136">
        <f t="shared" si="41"/>
        <v>1</v>
      </c>
      <c r="L31" s="165">
        <f>D65</f>
        <v>542135</v>
      </c>
      <c r="M31" s="165">
        <f>D99</f>
        <v>745480</v>
      </c>
      <c r="N31" s="165" t="e">
        <f>D133</f>
        <v>#N/A</v>
      </c>
      <c r="O31" s="165" t="e">
        <f>D167</f>
        <v>#N/A</v>
      </c>
      <c r="P31" s="165" t="e">
        <f>D201</f>
        <v>#N/A</v>
      </c>
      <c r="Q31" s="165" t="e">
        <f>D235</f>
        <v>#N/A</v>
      </c>
      <c r="R31" s="165" t="e">
        <f>D269</f>
        <v>#N/A</v>
      </c>
      <c r="S31" s="165" t="e">
        <f>D303</f>
        <v>#N/A</v>
      </c>
      <c r="T31" s="165" t="e">
        <f>D337</f>
        <v>#N/A</v>
      </c>
      <c r="U31" s="165" t="e">
        <f>D371</f>
        <v>#N/A</v>
      </c>
      <c r="V31" s="165" t="e">
        <f>D405</f>
        <v>#N/A</v>
      </c>
      <c r="W31" s="165" t="e">
        <f>D439</f>
        <v>#N/A</v>
      </c>
      <c r="X31" s="165" t="e">
        <f>D473</f>
        <v>#N/A</v>
      </c>
      <c r="Y31" s="165" t="e">
        <f>D507</f>
        <v>#N/A</v>
      </c>
      <c r="Z31" s="165" t="e">
        <f>D541</f>
        <v>#N/A</v>
      </c>
      <c r="AA31" s="165" t="e">
        <f>D575</f>
        <v>#N/A</v>
      </c>
      <c r="AB31" s="165" t="e">
        <f>D609</f>
        <v>#N/A</v>
      </c>
      <c r="AC31" s="165" t="e">
        <f>D643</f>
        <v>#N/A</v>
      </c>
      <c r="AD31" s="165" t="e">
        <f>D677</f>
        <v>#N/A</v>
      </c>
      <c r="AE31" s="165" t="e">
        <f>D711</f>
        <v>#N/A</v>
      </c>
      <c r="AF31" s="165" t="e">
        <f>D745</f>
        <v>#N/A</v>
      </c>
      <c r="AG31" s="165" t="e">
        <f>D779</f>
        <v>#N/A</v>
      </c>
      <c r="AH31" s="165" t="e">
        <f>D813</f>
        <v>#N/A</v>
      </c>
      <c r="AI31" s="165" t="e">
        <f>D847</f>
        <v>#N/A</v>
      </c>
      <c r="AJ31" s="165" t="e">
        <f t="shared" ref="AJ31:AJ32" si="42">D881</f>
        <v>#N/A</v>
      </c>
      <c r="AK31" s="165" t="e">
        <f t="shared" ref="AK31:AK32" si="43">D915</f>
        <v>#N/A</v>
      </c>
      <c r="AL31" s="165" t="e">
        <f t="shared" ref="AL31:AL32" si="44">D949</f>
        <v>#N/A</v>
      </c>
      <c r="AM31" s="165" t="e">
        <f t="shared" ref="AM31:AM32" si="45">D983</f>
        <v>#N/A</v>
      </c>
      <c r="AN31" s="165" t="e">
        <f t="shared" ref="AN31:AN32" si="46">D1017</f>
        <v>#N/A</v>
      </c>
      <c r="AO31" s="165" t="e">
        <f t="shared" ref="AO31:AO32" si="47">D1051</f>
        <v>#N/A</v>
      </c>
      <c r="AP31" s="165" t="e">
        <f t="shared" ref="AP31:AP32" si="48">D1085</f>
        <v>#N/A</v>
      </c>
      <c r="AQ31" s="165" t="e">
        <f t="shared" ref="AQ31:AQ32" si="49">D1119</f>
        <v>#N/A</v>
      </c>
      <c r="AR31" s="165" t="e">
        <f t="shared" ref="AR31:AR32" si="50">D1153</f>
        <v>#N/A</v>
      </c>
      <c r="AS31" s="165" t="e">
        <f t="shared" ref="AS31:AS32" si="51">D1187</f>
        <v>#N/A</v>
      </c>
      <c r="AT31" s="165" t="e">
        <f t="shared" ref="AT31:AT32" si="52">D1221</f>
        <v>#N/A</v>
      </c>
      <c r="AU31" s="165" t="e">
        <f t="shared" ref="AU31:AU32" si="53">D1255</f>
        <v>#N/A</v>
      </c>
      <c r="AV31" s="165" t="e">
        <f t="shared" ref="AV31:AV32" si="54">D1289</f>
        <v>#N/A</v>
      </c>
      <c r="AW31" s="165" t="e">
        <f t="shared" ref="AW31:AW32" si="55">D1323</f>
        <v>#N/A</v>
      </c>
      <c r="AX31" s="165" t="e">
        <f t="shared" ref="AX31:AX32" si="56">D1357</f>
        <v>#N/A</v>
      </c>
      <c r="AY31" s="165" t="e">
        <f t="shared" ref="AY31:AY32" si="57">D1391</f>
        <v>#N/A</v>
      </c>
    </row>
    <row r="32" spans="1:54" s="136" customFormat="1">
      <c r="A32" s="252">
        <f>IF(D32=0,0,A31+1)</f>
        <v>12</v>
      </c>
      <c r="B32" s="258" t="s">
        <v>159</v>
      </c>
      <c r="C32" s="252" t="s">
        <v>156</v>
      </c>
      <c r="D32" s="257">
        <f>SUMIF(L32:AY32,$L$16)</f>
        <v>231771</v>
      </c>
      <c r="F32" s="242">
        <f>IF('Анализ стоимости'!AO26&gt;0,'Анализ стоимости'!A26,0)</f>
        <v>0</v>
      </c>
      <c r="G32" s="198"/>
      <c r="H32" s="259"/>
      <c r="I32" s="231"/>
      <c r="J32" s="136">
        <f t="shared" si="41"/>
        <v>1</v>
      </c>
      <c r="L32" s="165">
        <f>D66</f>
        <v>97584</v>
      </c>
      <c r="M32" s="165">
        <f>D100</f>
        <v>134187</v>
      </c>
      <c r="N32" s="165" t="e">
        <f>D134</f>
        <v>#N/A</v>
      </c>
      <c r="O32" s="165" t="e">
        <f>D168</f>
        <v>#N/A</v>
      </c>
      <c r="P32" s="165" t="e">
        <f>D202</f>
        <v>#N/A</v>
      </c>
      <c r="Q32" s="165" t="e">
        <f>D236</f>
        <v>#N/A</v>
      </c>
      <c r="R32" s="165" t="e">
        <f>D270</f>
        <v>#N/A</v>
      </c>
      <c r="S32" s="165" t="e">
        <f>D304</f>
        <v>#N/A</v>
      </c>
      <c r="T32" s="165" t="e">
        <f>D338</f>
        <v>#N/A</v>
      </c>
      <c r="U32" s="165" t="e">
        <f>D372</f>
        <v>#N/A</v>
      </c>
      <c r="V32" s="165" t="e">
        <f>D406</f>
        <v>#N/A</v>
      </c>
      <c r="W32" s="165" t="e">
        <f>D440</f>
        <v>#N/A</v>
      </c>
      <c r="X32" s="165" t="e">
        <f>D474</f>
        <v>#N/A</v>
      </c>
      <c r="Y32" s="165" t="e">
        <f>D508</f>
        <v>#N/A</v>
      </c>
      <c r="Z32" s="165" t="e">
        <f>D542</f>
        <v>#N/A</v>
      </c>
      <c r="AA32" s="165" t="e">
        <f>D576</f>
        <v>#N/A</v>
      </c>
      <c r="AB32" s="165" t="e">
        <f>D610</f>
        <v>#N/A</v>
      </c>
      <c r="AC32" s="165" t="e">
        <f>D644</f>
        <v>#N/A</v>
      </c>
      <c r="AD32" s="165" t="e">
        <f>D678</f>
        <v>#N/A</v>
      </c>
      <c r="AE32" s="165" t="e">
        <f>D712</f>
        <v>#N/A</v>
      </c>
      <c r="AF32" s="165" t="e">
        <f>D746</f>
        <v>#N/A</v>
      </c>
      <c r="AG32" s="165" t="e">
        <f>D780</f>
        <v>#N/A</v>
      </c>
      <c r="AH32" s="165" t="e">
        <f>D814</f>
        <v>#N/A</v>
      </c>
      <c r="AI32" s="165" t="e">
        <f>D848</f>
        <v>#N/A</v>
      </c>
      <c r="AJ32" s="165" t="e">
        <f t="shared" si="42"/>
        <v>#N/A</v>
      </c>
      <c r="AK32" s="165" t="e">
        <f t="shared" si="43"/>
        <v>#N/A</v>
      </c>
      <c r="AL32" s="165" t="e">
        <f t="shared" si="44"/>
        <v>#N/A</v>
      </c>
      <c r="AM32" s="165" t="e">
        <f t="shared" si="45"/>
        <v>#N/A</v>
      </c>
      <c r="AN32" s="165" t="e">
        <f t="shared" si="46"/>
        <v>#N/A</v>
      </c>
      <c r="AO32" s="165" t="e">
        <f t="shared" si="47"/>
        <v>#N/A</v>
      </c>
      <c r="AP32" s="165" t="e">
        <f t="shared" si="48"/>
        <v>#N/A</v>
      </c>
      <c r="AQ32" s="165" t="e">
        <f t="shared" si="49"/>
        <v>#N/A</v>
      </c>
      <c r="AR32" s="165" t="e">
        <f t="shared" si="50"/>
        <v>#N/A</v>
      </c>
      <c r="AS32" s="165" t="e">
        <f t="shared" si="51"/>
        <v>#N/A</v>
      </c>
      <c r="AT32" s="165" t="e">
        <f t="shared" si="52"/>
        <v>#N/A</v>
      </c>
      <c r="AU32" s="165" t="e">
        <f t="shared" si="53"/>
        <v>#N/A</v>
      </c>
      <c r="AV32" s="165" t="e">
        <f t="shared" si="54"/>
        <v>#N/A</v>
      </c>
      <c r="AW32" s="165" t="e">
        <f t="shared" si="55"/>
        <v>#N/A</v>
      </c>
      <c r="AX32" s="165" t="e">
        <f t="shared" si="56"/>
        <v>#N/A</v>
      </c>
      <c r="AY32" s="165" t="e">
        <f t="shared" si="57"/>
        <v>#N/A</v>
      </c>
    </row>
    <row r="33" spans="1:51" s="136" customFormat="1">
      <c r="A33" s="252">
        <f>IF(D33=0,0,A32+1)</f>
        <v>13</v>
      </c>
      <c r="B33" s="258" t="s">
        <v>205</v>
      </c>
      <c r="C33" s="252" t="s">
        <v>156</v>
      </c>
      <c r="D33" s="257">
        <f>SUM(D31:D32)</f>
        <v>1519386</v>
      </c>
      <c r="E33" s="254">
        <f>VLOOKUP($F$8,'Анализ стоимости'!$A$4:$DK$59,76,0)</f>
        <v>1519386</v>
      </c>
      <c r="F33" s="242">
        <f>IF('Анализ стоимости'!AO27&gt;0,'Анализ стоимости'!A27,0)</f>
        <v>0</v>
      </c>
      <c r="G33" s="198"/>
      <c r="H33" s="260"/>
      <c r="I33" s="231"/>
      <c r="J33" s="136">
        <f t="shared" si="41"/>
        <v>1</v>
      </c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5"/>
    </row>
    <row r="34" spans="1:51" s="136" customFormat="1" ht="31.5">
      <c r="A34" s="252">
        <f>IF(D34=0,0,IF(D33=0,IF(D29=0,A25+1,A29+1),A33+1))</f>
        <v>0</v>
      </c>
      <c r="B34" s="258" t="s">
        <v>204</v>
      </c>
      <c r="C34" s="252" t="s">
        <v>156</v>
      </c>
      <c r="D34" s="257">
        <f>SUMIF(L34:AY34,$L$16)</f>
        <v>0</v>
      </c>
      <c r="E34" s="171"/>
      <c r="F34" s="242">
        <f>IF('Анализ стоимости'!AO28&gt;0,'Анализ стоимости'!A28,0)</f>
        <v>0</v>
      </c>
      <c r="G34" s="198"/>
      <c r="H34" s="260"/>
      <c r="I34" s="231"/>
      <c r="J34" s="136" t="str">
        <f t="shared" si="41"/>
        <v/>
      </c>
      <c r="L34" s="165">
        <f>D68</f>
        <v>0</v>
      </c>
      <c r="M34" s="165">
        <f>D102</f>
        <v>0</v>
      </c>
      <c r="N34" s="165" t="e">
        <f>D136</f>
        <v>#N/A</v>
      </c>
      <c r="O34" s="165" t="e">
        <f>D170</f>
        <v>#N/A</v>
      </c>
      <c r="P34" s="165" t="e">
        <f>D204</f>
        <v>#N/A</v>
      </c>
      <c r="Q34" s="165" t="e">
        <f>D238</f>
        <v>#N/A</v>
      </c>
      <c r="R34" s="165" t="e">
        <f>D272</f>
        <v>#N/A</v>
      </c>
      <c r="S34" s="165" t="e">
        <f>D306</f>
        <v>#N/A</v>
      </c>
      <c r="T34" s="165" t="e">
        <f>D340</f>
        <v>#N/A</v>
      </c>
      <c r="U34" s="165" t="e">
        <f>D374</f>
        <v>#N/A</v>
      </c>
      <c r="V34" s="165" t="e">
        <f>D408</f>
        <v>#N/A</v>
      </c>
      <c r="W34" s="165" t="e">
        <f>D442</f>
        <v>#N/A</v>
      </c>
      <c r="X34" s="165" t="e">
        <f>D476</f>
        <v>#N/A</v>
      </c>
      <c r="Y34" s="165" t="e">
        <f>D510</f>
        <v>#N/A</v>
      </c>
      <c r="Z34" s="165" t="e">
        <f>D544</f>
        <v>#N/A</v>
      </c>
      <c r="AA34" s="165" t="e">
        <f>D578</f>
        <v>#N/A</v>
      </c>
      <c r="AB34" s="165" t="e">
        <f>D612</f>
        <v>#N/A</v>
      </c>
      <c r="AC34" s="165" t="e">
        <f>D646</f>
        <v>#N/A</v>
      </c>
      <c r="AD34" s="165" t="e">
        <f>D680</f>
        <v>#N/A</v>
      </c>
      <c r="AE34" s="165" t="e">
        <f>D714</f>
        <v>#N/A</v>
      </c>
      <c r="AF34" s="165" t="e">
        <f>D748</f>
        <v>#N/A</v>
      </c>
      <c r="AG34" s="165" t="e">
        <f>D782</f>
        <v>#N/A</v>
      </c>
      <c r="AH34" s="165" t="e">
        <f>D816</f>
        <v>#N/A</v>
      </c>
      <c r="AI34" s="165" t="e">
        <f>D850</f>
        <v>#N/A</v>
      </c>
      <c r="AJ34" s="165" t="e">
        <f>D884</f>
        <v>#N/A</v>
      </c>
      <c r="AK34" s="165" t="e">
        <f>D918</f>
        <v>#N/A</v>
      </c>
      <c r="AL34" s="165" t="e">
        <f>D952</f>
        <v>#N/A</v>
      </c>
      <c r="AM34" s="165" t="e">
        <f>D986</f>
        <v>#N/A</v>
      </c>
      <c r="AN34" s="165" t="e">
        <f>D1020</f>
        <v>#N/A</v>
      </c>
      <c r="AO34" s="165" t="e">
        <f>D1054</f>
        <v>#N/A</v>
      </c>
      <c r="AP34" s="165" t="e">
        <f>D1088</f>
        <v>#N/A</v>
      </c>
      <c r="AQ34" s="165" t="e">
        <f>D1122</f>
        <v>#N/A</v>
      </c>
      <c r="AR34" s="165" t="e">
        <f>D1156</f>
        <v>#N/A</v>
      </c>
      <c r="AS34" s="165" t="e">
        <f>D1190</f>
        <v>#N/A</v>
      </c>
      <c r="AT34" s="165" t="e">
        <f>D1224</f>
        <v>#N/A</v>
      </c>
      <c r="AU34" s="165" t="e">
        <f>D1258</f>
        <v>#N/A</v>
      </c>
      <c r="AV34" s="165" t="e">
        <f>D1292</f>
        <v>#N/A</v>
      </c>
      <c r="AW34" s="165" t="e">
        <f>D1326</f>
        <v>#N/A</v>
      </c>
      <c r="AX34" s="165" t="e">
        <f>D1360</f>
        <v>#N/A</v>
      </c>
      <c r="AY34" s="165" t="e">
        <f>D1394</f>
        <v>#N/A</v>
      </c>
    </row>
    <row r="35" spans="1:51" s="136" customFormat="1">
      <c r="A35" s="252">
        <f>IF(D35=0,0,A34+1)</f>
        <v>0</v>
      </c>
      <c r="B35" s="258" t="s">
        <v>159</v>
      </c>
      <c r="C35" s="252" t="s">
        <v>156</v>
      </c>
      <c r="D35" s="257">
        <f>SUMIF(L35:AY35,$L$16)</f>
        <v>0</v>
      </c>
      <c r="E35" s="171"/>
      <c r="F35" s="242">
        <f>IF('Анализ стоимости'!AO29&gt;0,'Анализ стоимости'!A29,0)</f>
        <v>0</v>
      </c>
      <c r="G35" s="198"/>
      <c r="H35" s="260"/>
      <c r="I35" s="231"/>
      <c r="J35" s="136" t="str">
        <f t="shared" si="41"/>
        <v/>
      </c>
      <c r="L35" s="165">
        <f>D69</f>
        <v>0</v>
      </c>
      <c r="M35" s="165">
        <f>D103</f>
        <v>0</v>
      </c>
      <c r="N35" s="165" t="e">
        <f>D137</f>
        <v>#N/A</v>
      </c>
      <c r="O35" s="165" t="e">
        <f>D171</f>
        <v>#N/A</v>
      </c>
      <c r="P35" s="165" t="e">
        <f>D205</f>
        <v>#N/A</v>
      </c>
      <c r="Q35" s="165" t="e">
        <f>D239</f>
        <v>#N/A</v>
      </c>
      <c r="R35" s="165" t="e">
        <f>D273</f>
        <v>#N/A</v>
      </c>
      <c r="S35" s="165" t="e">
        <f>D307</f>
        <v>#N/A</v>
      </c>
      <c r="T35" s="165" t="e">
        <f>D341</f>
        <v>#N/A</v>
      </c>
      <c r="U35" s="165" t="e">
        <f>D375</f>
        <v>#N/A</v>
      </c>
      <c r="V35" s="165" t="e">
        <f>D409</f>
        <v>#N/A</v>
      </c>
      <c r="W35" s="165" t="e">
        <f>D443</f>
        <v>#N/A</v>
      </c>
      <c r="X35" s="165" t="e">
        <f>D477</f>
        <v>#N/A</v>
      </c>
      <c r="Y35" s="165" t="e">
        <f>D511</f>
        <v>#N/A</v>
      </c>
      <c r="Z35" s="165" t="e">
        <f>D545</f>
        <v>#N/A</v>
      </c>
      <c r="AA35" s="165" t="e">
        <f>D579</f>
        <v>#N/A</v>
      </c>
      <c r="AB35" s="165" t="e">
        <f>D613</f>
        <v>#N/A</v>
      </c>
      <c r="AC35" s="165" t="e">
        <f>D647</f>
        <v>#N/A</v>
      </c>
      <c r="AD35" s="165" t="e">
        <f>D681</f>
        <v>#N/A</v>
      </c>
      <c r="AE35" s="165" t="e">
        <f>D715</f>
        <v>#N/A</v>
      </c>
      <c r="AF35" s="165" t="e">
        <f>D749</f>
        <v>#N/A</v>
      </c>
      <c r="AG35" s="165" t="e">
        <f>D783</f>
        <v>#N/A</v>
      </c>
      <c r="AH35" s="165" t="e">
        <f>D817</f>
        <v>#N/A</v>
      </c>
      <c r="AI35" s="165" t="e">
        <f>D851</f>
        <v>#N/A</v>
      </c>
      <c r="AJ35" s="165" t="e">
        <f>D885</f>
        <v>#N/A</v>
      </c>
      <c r="AK35" s="165" t="e">
        <f>D919</f>
        <v>#N/A</v>
      </c>
      <c r="AL35" s="165" t="e">
        <f>D953</f>
        <v>#N/A</v>
      </c>
      <c r="AM35" s="165" t="e">
        <f>D987</f>
        <v>#N/A</v>
      </c>
      <c r="AN35" s="165" t="e">
        <f>D1021</f>
        <v>#N/A</v>
      </c>
      <c r="AO35" s="165" t="e">
        <f>D1055</f>
        <v>#N/A</v>
      </c>
      <c r="AP35" s="165" t="e">
        <f>D1089</f>
        <v>#N/A</v>
      </c>
      <c r="AQ35" s="165" t="e">
        <f>D1123</f>
        <v>#N/A</v>
      </c>
      <c r="AR35" s="165" t="e">
        <f>D1157</f>
        <v>#N/A</v>
      </c>
      <c r="AS35" s="165" t="e">
        <f>D1191</f>
        <v>#N/A</v>
      </c>
      <c r="AT35" s="165" t="e">
        <f>D1225</f>
        <v>#N/A</v>
      </c>
      <c r="AU35" s="165" t="e">
        <f>D1259</f>
        <v>#N/A</v>
      </c>
      <c r="AV35" s="165" t="e">
        <f>D1293</f>
        <v>#N/A</v>
      </c>
      <c r="AW35" s="165" t="e">
        <f>D1327</f>
        <v>#N/A</v>
      </c>
      <c r="AX35" s="165" t="e">
        <f>D1361</f>
        <v>#N/A</v>
      </c>
      <c r="AY35" s="165" t="e">
        <f>D1395</f>
        <v>#N/A</v>
      </c>
    </row>
    <row r="36" spans="1:51" s="136" customFormat="1">
      <c r="A36" s="252">
        <f>IF(D36=0,0,A35+1)</f>
        <v>0</v>
      </c>
      <c r="B36" s="258" t="s">
        <v>203</v>
      </c>
      <c r="C36" s="252" t="s">
        <v>156</v>
      </c>
      <c r="D36" s="257">
        <f>SUM(D34:D35)</f>
        <v>0</v>
      </c>
      <c r="E36" s="254">
        <f>VLOOKUP($F$8,'Анализ стоимости'!$A$4:$DK$59,77,0)</f>
        <v>0</v>
      </c>
      <c r="F36" s="242">
        <f>IF('Анализ стоимости'!AO30&gt;0,'Анализ стоимости'!A30,0)</f>
        <v>0</v>
      </c>
      <c r="G36" s="198"/>
      <c r="H36" s="260"/>
      <c r="I36" s="231"/>
      <c r="J36" s="136" t="str">
        <f t="shared" si="41"/>
        <v/>
      </c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</row>
    <row r="37" spans="1:51" s="225" customFormat="1">
      <c r="A37" s="252">
        <f>IF(D37=0,0,A36+1)</f>
        <v>0</v>
      </c>
      <c r="B37" s="258" t="s">
        <v>158</v>
      </c>
      <c r="C37" s="252" t="s">
        <v>156</v>
      </c>
      <c r="D37" s="257">
        <f>IF(OR(D33=0,D36=0),0,D36+D33)</f>
        <v>0</v>
      </c>
      <c r="E37" s="254">
        <f>VLOOKUP($F$8,'Анализ стоимости'!$A$4:$DK$59,67,0)</f>
        <v>1519386</v>
      </c>
      <c r="F37" s="242">
        <f>IF('Анализ стоимости'!AO31&gt;0,'Анализ стоимости'!A31,0)</f>
        <v>0</v>
      </c>
      <c r="G37" s="198"/>
      <c r="H37" s="261"/>
      <c r="I37" s="222"/>
      <c r="J37" s="136" t="str">
        <f t="shared" si="41"/>
        <v/>
      </c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</row>
    <row r="38" spans="1:51" s="225" customFormat="1">
      <c r="A38" s="262"/>
      <c r="B38" s="262"/>
      <c r="C38" s="262"/>
      <c r="D38" s="263"/>
      <c r="F38" s="242">
        <f>IF('Анализ стоимости'!AO32&gt;0,'Анализ стоимости'!A32,0)</f>
        <v>0</v>
      </c>
      <c r="G38" s="198"/>
      <c r="H38" s="261"/>
      <c r="I38" s="222"/>
      <c r="J38" s="225">
        <v>1</v>
      </c>
    </row>
    <row r="39" spans="1:51" s="268" customFormat="1" ht="31.5">
      <c r="A39" s="289" t="str">
        <f>'Анализ стоимости'!M$52</f>
        <v>Заместитель главы Вышестеблиевского сельского поселения Темрюкского района</v>
      </c>
      <c r="B39" s="290"/>
      <c r="C39" s="264"/>
      <c r="D39" s="265" t="str">
        <f>CONCATENATE("_____________________ ",'Анализ стоимости'!M$53)</f>
        <v>_____________________ Н.Д.Шевченко</v>
      </c>
      <c r="E39" s="266"/>
      <c r="F39" s="242">
        <f>IF('Анализ стоимости'!AO33&gt;0,'Анализ стоимости'!A33,0)</f>
        <v>0</v>
      </c>
      <c r="G39" s="267" t="str">
        <f>A39</f>
        <v>Заместитель главы Вышестеблиевского сельского поселения Темрюкского района</v>
      </c>
      <c r="H39" s="267"/>
      <c r="I39" s="222"/>
      <c r="J39" s="268">
        <v>1</v>
      </c>
    </row>
    <row r="40" spans="1:51" s="274" customFormat="1" ht="5.25">
      <c r="A40" s="269"/>
      <c r="B40" s="269"/>
      <c r="C40" s="269"/>
      <c r="D40" s="270"/>
      <c r="E40" s="271"/>
      <c r="F40" s="247">
        <f>IF('Анализ стоимости'!AO34&gt;0,'Анализ стоимости'!A34,0)</f>
        <v>0</v>
      </c>
      <c r="G40" s="272"/>
      <c r="H40" s="272"/>
      <c r="I40" s="273"/>
      <c r="J40" s="274">
        <v>1</v>
      </c>
    </row>
    <row r="41" spans="1:51" s="225" customFormat="1">
      <c r="A41" s="291">
        <f ca="1">TODAY()</f>
        <v>41941</v>
      </c>
      <c r="B41" s="291"/>
      <c r="C41" s="224"/>
      <c r="D41" s="224"/>
      <c r="E41" s="275"/>
      <c r="F41" s="242">
        <f>IF('Анализ стоимости'!AO35&gt;0,'Анализ стоимости'!A35,0)</f>
        <v>0</v>
      </c>
      <c r="G41" s="226"/>
      <c r="H41" s="226"/>
      <c r="I41" s="222"/>
      <c r="J41" s="225">
        <v>1</v>
      </c>
    </row>
    <row r="42" spans="1:51" s="225" customFormat="1">
      <c r="A42" s="295" t="s">
        <v>170</v>
      </c>
      <c r="B42" s="295"/>
      <c r="C42" s="295"/>
      <c r="D42" s="295"/>
      <c r="E42" s="275"/>
      <c r="F42" s="242">
        <f>IF('Анализ стоимости'!AO36&gt;0,'Анализ стоимости'!A36,0)</f>
        <v>0</v>
      </c>
      <c r="G42" s="226"/>
      <c r="H42" s="226"/>
      <c r="I42" s="222"/>
      <c r="J42" s="136">
        <f t="shared" ref="J42:J59" si="58">IF($F$10=0,"",1)</f>
        <v>1</v>
      </c>
    </row>
    <row r="43" spans="1:51" ht="31.5">
      <c r="A43" s="296" t="str">
        <f>CONCATENATE("Наименование объекта: ",VLOOKUP($F$10,'Анализ стоимости'!$A$4:$DK$59,11+2,0))</f>
        <v>Наименование объекта: Ремонт пер. Володарского от  ул.Октябрьской до ул. Пушкина в ст-це Вышестеблиевской</v>
      </c>
      <c r="B43" s="296"/>
      <c r="C43" s="296"/>
      <c r="D43" s="296"/>
      <c r="F43" s="242">
        <f>IF('Анализ стоимости'!AO37&gt;0,'Анализ стоимости'!A37,0)</f>
        <v>0</v>
      </c>
      <c r="I43" s="276" t="str">
        <f>A43</f>
        <v>Наименование объекта: Ремонт пер. Володарского от  ул.Октябрьской до ул. Пушкина в ст-це Вышестеблиевской</v>
      </c>
      <c r="J43" s="136">
        <f t="shared" si="58"/>
        <v>1</v>
      </c>
    </row>
    <row r="44" spans="1:51" s="237" customFormat="1" ht="5.25">
      <c r="A44" s="246"/>
      <c r="B44" s="235"/>
      <c r="C44" s="235"/>
      <c r="D44" s="235"/>
      <c r="F44" s="247">
        <f>IF('Анализ стоимости'!AO38&gt;0,'Анализ стоимости'!A38,0)</f>
        <v>0</v>
      </c>
      <c r="G44" s="238"/>
      <c r="H44" s="238"/>
      <c r="I44" s="273"/>
      <c r="J44" s="277">
        <f t="shared" si="58"/>
        <v>1</v>
      </c>
    </row>
    <row r="45" spans="1:51">
      <c r="A45" s="248" t="s">
        <v>149</v>
      </c>
      <c r="B45" s="241"/>
      <c r="C45" s="241"/>
      <c r="D45" s="241"/>
      <c r="F45" s="242">
        <f>IF('Анализ стоимости'!AO39&gt;0,'Анализ стоимости'!A39,0)</f>
        <v>0</v>
      </c>
      <c r="J45" s="136">
        <f t="shared" si="58"/>
        <v>1</v>
      </c>
    </row>
    <row r="46" spans="1:51">
      <c r="A46" s="297" t="s">
        <v>150</v>
      </c>
      <c r="B46" s="297"/>
      <c r="C46" s="297"/>
      <c r="D46" s="297"/>
      <c r="F46" s="242">
        <f>IF('Анализ стоимости'!AO40&gt;0,'Анализ стоимости'!A40,0)</f>
        <v>0</v>
      </c>
      <c r="J46" s="136">
        <f t="shared" si="58"/>
        <v>1</v>
      </c>
    </row>
    <row r="47" spans="1:51" ht="47.25" customHeight="1">
      <c r="A47" s="249" t="s">
        <v>53</v>
      </c>
      <c r="B47" s="249" t="s">
        <v>87</v>
      </c>
      <c r="C47" s="298" t="str">
        <f>CONCATENATE("Стоимость  согласно сметной документации (руб.) в текущих ценах по состоянию на ",VLOOKUP($F$10,'Анализ стоимости'!$A$4:$BY$59,6+2,0)," г.")</f>
        <v>Стоимость  согласно сметной документации (руб.) в текущих ценах по состоянию на 01.08.2013 г.</v>
      </c>
      <c r="D47" s="299"/>
      <c r="F47" s="242">
        <f>IF('Анализ стоимости'!AO41&gt;0,'Анализ стоимости'!A41,0)</f>
        <v>0</v>
      </c>
      <c r="H47" s="250" t="str">
        <f>C47</f>
        <v>Стоимость  согласно сметной документации (руб.) в текущих ценах по состоянию на 01.08.2013 г.</v>
      </c>
      <c r="J47" s="136">
        <f t="shared" si="58"/>
        <v>1</v>
      </c>
    </row>
    <row r="48" spans="1:51">
      <c r="A48" s="252">
        <v>1</v>
      </c>
      <c r="B48" s="253" t="s">
        <v>28</v>
      </c>
      <c r="C48" s="292">
        <f>VLOOKUP($F$10,'Анализ стоимости'!$A$4:$BY$59,12+2,0)</f>
        <v>32783</v>
      </c>
      <c r="D48" s="293"/>
      <c r="F48" s="242">
        <f>IF('Анализ стоимости'!AO42&gt;0,'Анализ стоимости'!A42,0)</f>
        <v>0</v>
      </c>
      <c r="J48" s="136">
        <f t="shared" si="58"/>
        <v>1</v>
      </c>
    </row>
    <row r="49" spans="1:10">
      <c r="A49" s="252">
        <v>2</v>
      </c>
      <c r="B49" s="253" t="s">
        <v>23</v>
      </c>
      <c r="C49" s="292">
        <f>VLOOKUP($F$10,'Анализ стоимости'!$A$4:$DK$59,13+2,0)</f>
        <v>23666</v>
      </c>
      <c r="D49" s="293"/>
      <c r="F49" s="242">
        <f>IF('Анализ стоимости'!AO43&gt;0,'Анализ стоимости'!A43,0)</f>
        <v>0</v>
      </c>
      <c r="J49" s="136">
        <f t="shared" si="58"/>
        <v>1</v>
      </c>
    </row>
    <row r="50" spans="1:10" ht="31.5">
      <c r="A50" s="252">
        <v>3</v>
      </c>
      <c r="B50" s="253" t="s">
        <v>2</v>
      </c>
      <c r="C50" s="292">
        <f>VLOOKUP($F$10,'Анализ стоимости'!$A$4:$DK$59,14+2,0)</f>
        <v>394073</v>
      </c>
      <c r="D50" s="293"/>
      <c r="J50" s="136">
        <f t="shared" si="58"/>
        <v>1</v>
      </c>
    </row>
    <row r="51" spans="1:10">
      <c r="A51" s="252">
        <v>4</v>
      </c>
      <c r="B51" s="253" t="s">
        <v>24</v>
      </c>
      <c r="C51" s="292">
        <f>VLOOKUP($F$10,'Анализ стоимости'!$A$4:$DK$59,15+2,0)</f>
        <v>33479</v>
      </c>
      <c r="D51" s="293"/>
      <c r="J51" s="136">
        <f t="shared" si="58"/>
        <v>1</v>
      </c>
    </row>
    <row r="52" spans="1:10">
      <c r="A52" s="252">
        <v>5</v>
      </c>
      <c r="B52" s="253" t="s">
        <v>5</v>
      </c>
      <c r="C52" s="292">
        <f>VLOOKUP($F$10,'Анализ стоимости'!$A$4:$DK$59,16+2,0)</f>
        <v>18121</v>
      </c>
      <c r="D52" s="293"/>
      <c r="J52" s="136">
        <f t="shared" si="58"/>
        <v>1</v>
      </c>
    </row>
    <row r="53" spans="1:10">
      <c r="A53" s="252">
        <v>6</v>
      </c>
      <c r="B53" s="253" t="s">
        <v>10</v>
      </c>
      <c r="C53" s="292">
        <f>VLOOKUP($F$10,'Анализ стоимости'!$A$4:$DK$59,20+2,0)</f>
        <v>0</v>
      </c>
      <c r="D53" s="293"/>
      <c r="J53" s="136">
        <f t="shared" si="58"/>
        <v>1</v>
      </c>
    </row>
    <row r="54" spans="1:10">
      <c r="A54" s="252">
        <v>7</v>
      </c>
      <c r="B54" s="253" t="s">
        <v>79</v>
      </c>
      <c r="C54" s="292">
        <f>VLOOKUP($F$10,'Анализ стоимости'!$A$4:$DK$59,21+2,0)+VLOOKUP($F$10,'Анализ стоимости'!$A$4:$DK$59,23+2,0)+VLOOKUP($F$10,'Анализ стоимости'!$A$4:$DK$59,24+2,0)+VLOOKUP($F$10,'Анализ стоимости'!$A$4:$DK$59,25+2,0)+VLOOKUP($F$10,'Анализ стоимости'!$A$4:$DK$59,26+2,0)+VLOOKUP($F$10,'Анализ стоимости'!$A$4:$DK$59,27+2,0)+VLOOKUP($F$10,'Анализ стоимости'!$A$4:$DK$59,28+2,0)+VLOOKUP($F$10,'Анализ стоимости'!$A$4:$DK$59,29+2,0)</f>
        <v>5021</v>
      </c>
      <c r="D54" s="293"/>
      <c r="J54" s="136">
        <f t="shared" si="58"/>
        <v>1</v>
      </c>
    </row>
    <row r="55" spans="1:10">
      <c r="A55" s="252">
        <v>8</v>
      </c>
      <c r="B55" s="253" t="s">
        <v>46</v>
      </c>
      <c r="C55" s="292">
        <f>VLOOKUP($F$10,'Анализ стоимости'!$A$4:$DK$59,34+2,0)</f>
        <v>0</v>
      </c>
      <c r="D55" s="293"/>
      <c r="J55" s="136">
        <f t="shared" si="58"/>
        <v>1</v>
      </c>
    </row>
    <row r="56" spans="1:10">
      <c r="A56" s="252">
        <v>9</v>
      </c>
      <c r="B56" s="253" t="s">
        <v>169</v>
      </c>
      <c r="C56" s="292">
        <f>SUM(C48:D55)</f>
        <v>507143</v>
      </c>
      <c r="D56" s="293"/>
      <c r="J56" s="136">
        <f t="shared" si="58"/>
        <v>1</v>
      </c>
    </row>
    <row r="57" spans="1:10">
      <c r="A57" s="294" t="s">
        <v>161</v>
      </c>
      <c r="B57" s="294"/>
      <c r="C57" s="294"/>
      <c r="D57" s="294"/>
      <c r="J57" s="136">
        <f t="shared" si="58"/>
        <v>1</v>
      </c>
    </row>
    <row r="58" spans="1:10" ht="31.5">
      <c r="A58" s="255" t="s">
        <v>53</v>
      </c>
      <c r="B58" s="249" t="s">
        <v>15</v>
      </c>
      <c r="C58" s="249" t="s">
        <v>152</v>
      </c>
      <c r="D58" s="249" t="s">
        <v>88</v>
      </c>
      <c r="J58" s="136">
        <f t="shared" si="58"/>
        <v>1</v>
      </c>
    </row>
    <row r="59" spans="1:10" ht="31.5">
      <c r="A59" s="252">
        <v>10</v>
      </c>
      <c r="B59" s="252" t="str">
        <f>VLOOKUP((VLOOKUP($F$10,'Анализ стоимости'!$A$4:$BY$59,12,0)),'Расчет инфляции'!$BD$5:$BE$22,2,0)</f>
        <v>Индексы-дефляторы Минэкономразвития РФ, применяемые к сметной стоимости</v>
      </c>
      <c r="C59" s="252"/>
      <c r="D59" s="253"/>
      <c r="J59" s="136">
        <f t="shared" si="58"/>
        <v>1</v>
      </c>
    </row>
    <row r="60" spans="1:10">
      <c r="A60" s="252">
        <f>IF(D60=0,0,A59+1)</f>
        <v>11</v>
      </c>
      <c r="B60" s="253" t="str">
        <f>CONCATENATE("2014 г. (",CHOOSE(VLOOKUP(F$10,'Анализ стоимости'!$A$4:$DK$90,68,0),"Январь","Февраль","Март","Апрель","Май","Июнь","Июль","Август","Сентябрь","Октябрь","Ноябрь","Декабрь")," - ",CHOOSE(VLOOKUP(F$10,'Анализ стоимости'!$A$4:$DK$90,69,0),"Январь","Февраль","Март","Апрель","Май","Июнь","Июль","Август","Сентябрь","Октябрь","Ноябрь","Декабрь"),")")</f>
        <v>2014 г. (Октябрь - Ноябрь)</v>
      </c>
      <c r="C60" s="252" t="s">
        <v>153</v>
      </c>
      <c r="D60" s="278">
        <f>IF(D62=0,0,VLOOKUP($F$10,'Анализ стоимости'!$A$4:$DK$59,74,0)*100+100)</f>
        <v>106.9</v>
      </c>
      <c r="J60" s="136">
        <f>IF(D60=0,"",1)</f>
        <v>1</v>
      </c>
    </row>
    <row r="61" spans="1:10">
      <c r="A61" s="252">
        <f>IF(D61=0,0,IF(D60=0,A59+1,A60+1))</f>
        <v>0</v>
      </c>
      <c r="B61" s="253" t="str">
        <f>CONCATENATE("2015 г. (",CHOOSE(VLOOKUP(F$10,'Анализ стоимости'!$A$4:$DK$90,70,0),"Январь","Февраль","Март","Апрель","Май","Июнь","Июль","Август","Сентябрь","Октябрь","Ноябрь","Декабрь")," - ",CHOOSE(VLOOKUP(F$10,'Анализ стоимости'!$A$4:$DK$90,71,0),"Январь","Февраль","Март","Апрель","Май","Июнь","Июль","Август","Сентябрь","Октябрь","Ноябрь","Декабрь"),")")</f>
        <v>2015 г. (Январь - Декабрь)</v>
      </c>
      <c r="C61" s="252" t="s">
        <v>153</v>
      </c>
      <c r="D61" s="278">
        <f>IF(D63=0,0,VLOOKUP($F$10,'Анализ стоимости'!$A$4:$DK$59,75,0)*100+100)</f>
        <v>0</v>
      </c>
      <c r="J61" s="136" t="str">
        <f t="shared" ref="J61:J63" si="59">IF(D61=0,"",1)</f>
        <v/>
      </c>
    </row>
    <row r="62" spans="1:10">
      <c r="A62" s="252">
        <f>IF(D62=0,0,IF(D61=0,A60+1,A61+1))</f>
        <v>12</v>
      </c>
      <c r="B62" s="253" t="s">
        <v>154</v>
      </c>
      <c r="C62" s="252" t="s">
        <v>156</v>
      </c>
      <c r="D62" s="257">
        <f>VLOOKUP($F$10,'Анализ стоимости'!$A$4:$DK$59,51,0)</f>
        <v>34992</v>
      </c>
      <c r="J62" s="136">
        <f t="shared" si="59"/>
        <v>1</v>
      </c>
    </row>
    <row r="63" spans="1:10">
      <c r="A63" s="252">
        <f>IF(D63=0,0,IF(D62=0,A61+1,A62+1))</f>
        <v>0</v>
      </c>
      <c r="B63" s="253" t="s">
        <v>155</v>
      </c>
      <c r="C63" s="252" t="s">
        <v>156</v>
      </c>
      <c r="D63" s="257">
        <f>VLOOKUP($F$10,'Анализ стоимости'!$A$4:$DK$59,61,0)</f>
        <v>0</v>
      </c>
      <c r="J63" s="136" t="str">
        <f t="shared" si="59"/>
        <v/>
      </c>
    </row>
    <row r="64" spans="1:10">
      <c r="A64" s="294" t="s">
        <v>157</v>
      </c>
      <c r="B64" s="294"/>
      <c r="C64" s="294"/>
      <c r="D64" s="294"/>
      <c r="J64" s="136">
        <f>IF($F$10=0,"",1)</f>
        <v>1</v>
      </c>
    </row>
    <row r="65" spans="1:10" ht="31.5">
      <c r="A65" s="252">
        <f>IF(D65=0,0,IF(D63=0,IF(D62=0,A59+1,A62+1),A63+1))</f>
        <v>13</v>
      </c>
      <c r="B65" s="258" t="s">
        <v>206</v>
      </c>
      <c r="C65" s="252" t="s">
        <v>156</v>
      </c>
      <c r="D65" s="257">
        <f>SUM(VLOOKUP($F$10,'Анализ стоимости'!$A$4:$DK$59,46,0),D62)</f>
        <v>542135</v>
      </c>
      <c r="E65" s="136"/>
      <c r="J65" s="136">
        <f t="shared" ref="J65:J71" si="60">IF(D65=0,"",1)</f>
        <v>1</v>
      </c>
    </row>
    <row r="66" spans="1:10">
      <c r="A66" s="252">
        <f>IF(D66=0,0,A65+1)</f>
        <v>14</v>
      </c>
      <c r="B66" s="258" t="s">
        <v>159</v>
      </c>
      <c r="C66" s="252" t="s">
        <v>156</v>
      </c>
      <c r="D66" s="257">
        <f>VLOOKUP($F$10,'Анализ стоимости'!$A$4:$DK$59,56,0)</f>
        <v>97584</v>
      </c>
      <c r="E66" s="136"/>
      <c r="J66" s="136">
        <f t="shared" si="60"/>
        <v>1</v>
      </c>
    </row>
    <row r="67" spans="1:10">
      <c r="A67" s="252">
        <f>IF(D67=0,0,A66+1)</f>
        <v>15</v>
      </c>
      <c r="B67" s="258" t="s">
        <v>205</v>
      </c>
      <c r="C67" s="252" t="s">
        <v>156</v>
      </c>
      <c r="D67" s="257">
        <f>SUM(D65:D66)</f>
        <v>639719</v>
      </c>
      <c r="E67" s="254">
        <f>VLOOKUP($F$10,'Анализ стоимости'!$A$4:$DK$59,76,0)</f>
        <v>639719</v>
      </c>
      <c r="J67" s="136">
        <f t="shared" si="60"/>
        <v>1</v>
      </c>
    </row>
    <row r="68" spans="1:10" ht="31.5">
      <c r="A68" s="252">
        <f>IF(D68=0,0,IF(D67=0,IF(D63=0,A59+1,A63+1),A67+1))</f>
        <v>0</v>
      </c>
      <c r="B68" s="258" t="s">
        <v>204</v>
      </c>
      <c r="C68" s="252" t="s">
        <v>156</v>
      </c>
      <c r="D68" s="257">
        <f>VLOOKUP($F$10,'Анализ стоимости'!$A$4:$DK$59,41,0)-VLOOKUP($F$10,'Анализ стоимости'!$A$4:$DK$59,46,0)+D63</f>
        <v>0</v>
      </c>
      <c r="J68" s="136" t="str">
        <f t="shared" si="60"/>
        <v/>
      </c>
    </row>
    <row r="69" spans="1:10">
      <c r="A69" s="252">
        <f>IF(D69=0,0,A68+1)</f>
        <v>0</v>
      </c>
      <c r="B69" s="258" t="s">
        <v>159</v>
      </c>
      <c r="C69" s="252" t="s">
        <v>156</v>
      </c>
      <c r="D69" s="257">
        <f>VLOOKUP($F$10,'Анализ стоимости'!$A$4:$DK$59,66,0)</f>
        <v>0</v>
      </c>
      <c r="J69" s="136" t="str">
        <f t="shared" si="60"/>
        <v/>
      </c>
    </row>
    <row r="70" spans="1:10">
      <c r="A70" s="252">
        <f>IF(D70=0,0,A69+1)</f>
        <v>0</v>
      </c>
      <c r="B70" s="258" t="s">
        <v>203</v>
      </c>
      <c r="C70" s="252" t="s">
        <v>156</v>
      </c>
      <c r="D70" s="257">
        <f>SUM(D68:D69)</f>
        <v>0</v>
      </c>
      <c r="E70" s="254">
        <f>VLOOKUP($F$10,'Анализ стоимости'!$A$4:$DK$59,77,0)</f>
        <v>0</v>
      </c>
      <c r="J70" s="136" t="str">
        <f t="shared" si="60"/>
        <v/>
      </c>
    </row>
    <row r="71" spans="1:10">
      <c r="A71" s="252">
        <f>IF(D71=0,0,A70+1)</f>
        <v>0</v>
      </c>
      <c r="B71" s="258" t="s">
        <v>158</v>
      </c>
      <c r="C71" s="252" t="s">
        <v>156</v>
      </c>
      <c r="D71" s="257">
        <f>IF(OR(D67=0,D70=0),0,D70+D67)</f>
        <v>0</v>
      </c>
      <c r="E71" s="254">
        <f>VLOOKUP($F$10,'Анализ стоимости'!$A$4:$DK$59,67,0)</f>
        <v>639719</v>
      </c>
      <c r="J71" s="136" t="str">
        <f t="shared" si="60"/>
        <v/>
      </c>
    </row>
    <row r="72" spans="1:10">
      <c r="A72" s="262"/>
      <c r="B72" s="262"/>
      <c r="C72" s="262"/>
      <c r="D72" s="263"/>
      <c r="J72" s="136">
        <f>IF($F$10=0,"",1)</f>
        <v>1</v>
      </c>
    </row>
    <row r="73" spans="1:10" ht="31.5">
      <c r="A73" s="289" t="str">
        <f>'Анализ стоимости'!M$52</f>
        <v>Заместитель главы Вышестеблиевского сельского поселения Темрюкского района</v>
      </c>
      <c r="B73" s="290"/>
      <c r="C73" s="264"/>
      <c r="D73" s="265" t="str">
        <f>CONCATENATE("_____________________ ",'Анализ стоимости'!M$53)</f>
        <v>_____________________ Н.Д.Шевченко</v>
      </c>
      <c r="G73" s="267" t="str">
        <f>A73</f>
        <v>Заместитель главы Вышестеблиевского сельского поселения Темрюкского района</v>
      </c>
      <c r="J73" s="136">
        <f>IF($F$10=0,"",1)</f>
        <v>1</v>
      </c>
    </row>
    <row r="74" spans="1:10" s="237" customFormat="1" ht="5.25">
      <c r="A74" s="269"/>
      <c r="B74" s="269"/>
      <c r="C74" s="269"/>
      <c r="D74" s="270"/>
      <c r="G74" s="238"/>
      <c r="H74" s="238"/>
      <c r="I74" s="273"/>
      <c r="J74" s="277">
        <f>IF($F$10=0,"",1)</f>
        <v>1</v>
      </c>
    </row>
    <row r="75" spans="1:10">
      <c r="A75" s="291">
        <f ca="1">TODAY()</f>
        <v>41941</v>
      </c>
      <c r="B75" s="291"/>
      <c r="C75" s="224"/>
      <c r="D75" s="224"/>
      <c r="J75" s="136">
        <f>IF($F$10=0,"",1)</f>
        <v>1</v>
      </c>
    </row>
    <row r="76" spans="1:10">
      <c r="A76" s="295" t="s">
        <v>171</v>
      </c>
      <c r="B76" s="295"/>
      <c r="C76" s="295"/>
      <c r="D76" s="295"/>
      <c r="G76" s="226"/>
      <c r="H76" s="226"/>
      <c r="J76" s="136">
        <f t="shared" ref="J76:J93" si="61">IF($F$11=0,"",1)</f>
        <v>1</v>
      </c>
    </row>
    <row r="77" spans="1:10" ht="31.5">
      <c r="A77" s="296" t="str">
        <f>CONCATENATE("Наименование объекта: ",VLOOKUP($F$11,'Анализ стоимости'!$A$4:$DK$59,11+2,0))</f>
        <v>Наименование объекта: Ремонт пер.Урицкого от ул. Комсомольской до ул. Пушкина в ст-це Вышестеблиевской</v>
      </c>
      <c r="B77" s="296"/>
      <c r="C77" s="296"/>
      <c r="D77" s="296"/>
      <c r="I77" s="276" t="str">
        <f>A77</f>
        <v>Наименование объекта: Ремонт пер.Урицкого от ул. Комсомольской до ул. Пушкина в ст-це Вышестеблиевской</v>
      </c>
      <c r="J77" s="136">
        <f t="shared" si="61"/>
        <v>1</v>
      </c>
    </row>
    <row r="78" spans="1:10" s="237" customFormat="1" ht="5.25">
      <c r="A78" s="246"/>
      <c r="B78" s="235"/>
      <c r="C78" s="235"/>
      <c r="D78" s="235"/>
      <c r="G78" s="238"/>
      <c r="H78" s="238"/>
      <c r="I78" s="273"/>
      <c r="J78" s="277">
        <f t="shared" si="61"/>
        <v>1</v>
      </c>
    </row>
    <row r="79" spans="1:10">
      <c r="A79" s="248" t="s">
        <v>149</v>
      </c>
      <c r="B79" s="241"/>
      <c r="C79" s="241"/>
      <c r="D79" s="241"/>
      <c r="J79" s="136">
        <f t="shared" si="61"/>
        <v>1</v>
      </c>
    </row>
    <row r="80" spans="1:10">
      <c r="A80" s="297" t="s">
        <v>150</v>
      </c>
      <c r="B80" s="297"/>
      <c r="C80" s="297"/>
      <c r="D80" s="297"/>
      <c r="J80" s="136">
        <f t="shared" si="61"/>
        <v>1</v>
      </c>
    </row>
    <row r="81" spans="1:10" ht="47.25" customHeight="1">
      <c r="A81" s="249" t="s">
        <v>53</v>
      </c>
      <c r="B81" s="249" t="s">
        <v>87</v>
      </c>
      <c r="C81" s="298" t="str">
        <f>CONCATENATE("Стоимость  согласно сметной документации (руб.) в текущих ценах по состоянию на ",VLOOKUP($F$11,'Анализ стоимости'!$A$4:$BY$59,6+2,0)," г.")</f>
        <v>Стоимость  согласно сметной документации (руб.) в текущих ценах по состоянию на 01.08.2013 г.</v>
      </c>
      <c r="D81" s="299"/>
      <c r="H81" s="250" t="str">
        <f>C81</f>
        <v>Стоимость  согласно сметной документации (руб.) в текущих ценах по состоянию на 01.08.2013 г.</v>
      </c>
      <c r="J81" s="136">
        <f t="shared" si="61"/>
        <v>1</v>
      </c>
    </row>
    <row r="82" spans="1:10">
      <c r="A82" s="252">
        <v>1</v>
      </c>
      <c r="B82" s="253" t="s">
        <v>28</v>
      </c>
      <c r="C82" s="292">
        <f>VLOOKUP($F$11,'Анализ стоимости'!$A$4:$BY$59,12+2,0)</f>
        <v>44215</v>
      </c>
      <c r="D82" s="293"/>
      <c r="J82" s="136">
        <f t="shared" si="61"/>
        <v>1</v>
      </c>
    </row>
    <row r="83" spans="1:10">
      <c r="A83" s="252">
        <v>2</v>
      </c>
      <c r="B83" s="253" t="s">
        <v>23</v>
      </c>
      <c r="C83" s="292">
        <f>VLOOKUP($F$11,'Анализ стоимости'!$A$4:$DK$59,13+2,0)</f>
        <v>43433</v>
      </c>
      <c r="D83" s="293"/>
      <c r="J83" s="136">
        <f t="shared" si="61"/>
        <v>1</v>
      </c>
    </row>
    <row r="84" spans="1:10" ht="31.5">
      <c r="A84" s="252">
        <v>3</v>
      </c>
      <c r="B84" s="253" t="s">
        <v>2</v>
      </c>
      <c r="C84" s="292">
        <f>VLOOKUP($F$11,'Анализ стоимости'!$A$4:$DK$59,14+2,0)</f>
        <v>529814</v>
      </c>
      <c r="D84" s="293"/>
      <c r="J84" s="136">
        <f t="shared" si="61"/>
        <v>1</v>
      </c>
    </row>
    <row r="85" spans="1:10">
      <c r="A85" s="252">
        <v>4</v>
      </c>
      <c r="B85" s="253" t="s">
        <v>24</v>
      </c>
      <c r="C85" s="292">
        <f>VLOOKUP($F$11,'Анализ стоимости'!$A$4:$DK$59,15+2,0)</f>
        <v>47398</v>
      </c>
      <c r="D85" s="293"/>
      <c r="J85" s="136">
        <f t="shared" si="61"/>
        <v>1</v>
      </c>
    </row>
    <row r="86" spans="1:10">
      <c r="A86" s="252">
        <v>5</v>
      </c>
      <c r="B86" s="253" t="s">
        <v>5</v>
      </c>
      <c r="C86" s="292">
        <f>VLOOKUP($F$11,'Анализ стоимости'!$A$4:$DK$59,16+2,0)</f>
        <v>25597</v>
      </c>
      <c r="D86" s="293"/>
      <c r="J86" s="136">
        <f t="shared" si="61"/>
        <v>1</v>
      </c>
    </row>
    <row r="87" spans="1:10">
      <c r="A87" s="252">
        <v>6</v>
      </c>
      <c r="B87" s="253" t="s">
        <v>10</v>
      </c>
      <c r="C87" s="292">
        <f>VLOOKUP($F$11,'Анализ стоимости'!$A$4:$DK$59,20+2,0)</f>
        <v>0</v>
      </c>
      <c r="D87" s="293"/>
      <c r="J87" s="136">
        <f t="shared" si="61"/>
        <v>1</v>
      </c>
    </row>
    <row r="88" spans="1:10">
      <c r="A88" s="252">
        <v>7</v>
      </c>
      <c r="B88" s="253" t="s">
        <v>79</v>
      </c>
      <c r="C88" s="292">
        <f>VLOOKUP($F$11,'Анализ стоимости'!$A$4:$DK$59,21+2,0)+VLOOKUP($F$11,'Анализ стоимости'!$A$4:$DK$59,23+2,0)+VLOOKUP($F$11,'Анализ стоимости'!$A$4:$DK$59,24+2,0)+VLOOKUP($F$11,'Анализ стоимости'!$A$4:$DK$59,25+2,0)+VLOOKUP($F$11,'Анализ стоимости'!$A$4:$DK$59,26+2,0)+VLOOKUP($F$11,'Анализ стоимости'!$A$4:$DK$59,27+2,0)+VLOOKUP($F$11,'Анализ стоимости'!$A$4:$DK$59,28+2,0)+VLOOKUP($F$11,'Анализ стоимости'!$A$4:$DK$59,29+2,0)</f>
        <v>6905</v>
      </c>
      <c r="D88" s="293"/>
      <c r="J88" s="136">
        <f t="shared" si="61"/>
        <v>1</v>
      </c>
    </row>
    <row r="89" spans="1:10">
      <c r="A89" s="252">
        <v>8</v>
      </c>
      <c r="B89" s="253" t="s">
        <v>46</v>
      </c>
      <c r="C89" s="292">
        <f>VLOOKUP($F$11,'Анализ стоимости'!$A$4:$DK$59,34+2,0)</f>
        <v>0</v>
      </c>
      <c r="D89" s="293"/>
      <c r="J89" s="136">
        <f t="shared" si="61"/>
        <v>1</v>
      </c>
    </row>
    <row r="90" spans="1:10">
      <c r="A90" s="252">
        <v>9</v>
      </c>
      <c r="B90" s="253" t="s">
        <v>169</v>
      </c>
      <c r="C90" s="292">
        <f>SUM(C82:D89)</f>
        <v>697362</v>
      </c>
      <c r="D90" s="293"/>
      <c r="J90" s="136">
        <f t="shared" si="61"/>
        <v>1</v>
      </c>
    </row>
    <row r="91" spans="1:10">
      <c r="A91" s="294" t="s">
        <v>161</v>
      </c>
      <c r="B91" s="294"/>
      <c r="C91" s="294"/>
      <c r="D91" s="294"/>
      <c r="J91" s="136">
        <f t="shared" si="61"/>
        <v>1</v>
      </c>
    </row>
    <row r="92" spans="1:10" ht="31.5">
      <c r="A92" s="255" t="s">
        <v>53</v>
      </c>
      <c r="B92" s="249" t="s">
        <v>15</v>
      </c>
      <c r="C92" s="249" t="s">
        <v>152</v>
      </c>
      <c r="D92" s="249" t="s">
        <v>88</v>
      </c>
      <c r="J92" s="136">
        <f t="shared" si="61"/>
        <v>1</v>
      </c>
    </row>
    <row r="93" spans="1:10" ht="31.5">
      <c r="A93" s="252">
        <v>10</v>
      </c>
      <c r="B93" s="252" t="str">
        <f>VLOOKUP((VLOOKUP($F$11,'Анализ стоимости'!$A$4:$BY$59,12,0)),'Расчет инфляции'!$BD$5:$BE$22,2,0)</f>
        <v>Индексы-дефляторы Минэкономразвития РФ, применяемые к сметной стоимости</v>
      </c>
      <c r="C93" s="252"/>
      <c r="D93" s="253"/>
      <c r="J93" s="136">
        <f t="shared" si="61"/>
        <v>1</v>
      </c>
    </row>
    <row r="94" spans="1:10">
      <c r="A94" s="252">
        <f>IF(D94=0,0,A93+1)</f>
        <v>11</v>
      </c>
      <c r="B94" s="253" t="str">
        <f>CONCATENATE("2014 г. (",CHOOSE(VLOOKUP(F$11,'Анализ стоимости'!$A$4:$DK$90,68,0),"Январь","Февраль","Март","Апрель","Май","Июнь","Июль","Август","Сентябрь","Октябрь","Ноябрь","Декабрь")," - ",CHOOSE(VLOOKUP(F$11,'Анализ стоимости'!$A$4:$DK$90,69,0),"Январь","Февраль","Март","Апрель","Май","Июнь","Июль","Август","Сентябрь","Октябрь","Ноябрь","Декабрь"),")")</f>
        <v>2014 г. (Октябрь - Ноябрь)</v>
      </c>
      <c r="C94" s="252" t="s">
        <v>153</v>
      </c>
      <c r="D94" s="278">
        <f>IF(D96=0,0,VLOOKUP($F$11,'Анализ стоимости'!$A$4:$DK$59,74,0)*100+100)</f>
        <v>106.9</v>
      </c>
      <c r="J94" s="136">
        <f>IF(D94=0,"",1)</f>
        <v>1</v>
      </c>
    </row>
    <row r="95" spans="1:10">
      <c r="A95" s="252">
        <f>IF(D95=0,0,IF(D94=0,A93+1,A94+1))</f>
        <v>0</v>
      </c>
      <c r="B95" s="253" t="str">
        <f>CONCATENATE("2015 г. (",CHOOSE(VLOOKUP(F$11,'Анализ стоимости'!$A$4:$DK$90,70,0),"Январь","Февраль","Март","Апрель","Май","Июнь","Июль","Август","Сентябрь","Октябрь","Ноябрь","Декабрь")," - ",CHOOSE(VLOOKUP(F$11,'Анализ стоимости'!$A$4:$DK$90,71,0),"Январь","Февраль","Март","Апрель","Май","Июнь","Июль","Август","Сентябрь","Октябрь","Ноябрь","Декабрь"),")")</f>
        <v>2015 г. (Январь - Декабрь)</v>
      </c>
      <c r="C95" s="252" t="s">
        <v>153</v>
      </c>
      <c r="D95" s="278">
        <f>IF(D97=0,0,VLOOKUP($F$11,'Анализ стоимости'!$A$4:$DK$59,75,0)*100+100)</f>
        <v>0</v>
      </c>
      <c r="J95" s="136" t="str">
        <f t="shared" ref="J95:J97" si="62">IF(D95=0,"",1)</f>
        <v/>
      </c>
    </row>
    <row r="96" spans="1:10">
      <c r="A96" s="252">
        <f>IF(D96=0,0,IF(D95=0,A94+1,A95+1))</f>
        <v>12</v>
      </c>
      <c r="B96" s="253" t="s">
        <v>154</v>
      </c>
      <c r="C96" s="252" t="s">
        <v>156</v>
      </c>
      <c r="D96" s="257">
        <f>VLOOKUP($F$11,'Анализ стоимости'!$A$4:$DK$59,51,0)</f>
        <v>48118</v>
      </c>
      <c r="J96" s="136">
        <f t="shared" si="62"/>
        <v>1</v>
      </c>
    </row>
    <row r="97" spans="1:10">
      <c r="A97" s="252">
        <f>IF(D97=0,0,IF(D96=0,A95+1,A96+1))</f>
        <v>0</v>
      </c>
      <c r="B97" s="253" t="s">
        <v>155</v>
      </c>
      <c r="C97" s="252" t="s">
        <v>156</v>
      </c>
      <c r="D97" s="257">
        <f>VLOOKUP($F$11,'Анализ стоимости'!$A$4:$DK$59,61,0)</f>
        <v>0</v>
      </c>
      <c r="J97" s="136" t="str">
        <f t="shared" si="62"/>
        <v/>
      </c>
    </row>
    <row r="98" spans="1:10">
      <c r="A98" s="294" t="s">
        <v>157</v>
      </c>
      <c r="B98" s="294"/>
      <c r="C98" s="294"/>
      <c r="D98" s="294"/>
      <c r="J98" s="136">
        <f>IF($F$11=0,"",1)</f>
        <v>1</v>
      </c>
    </row>
    <row r="99" spans="1:10" ht="31.5">
      <c r="A99" s="252">
        <f>IF(D99=0,0,IF(D97=0,IF(D96=0,A93+1,A96+1),A97+1))</f>
        <v>13</v>
      </c>
      <c r="B99" s="258" t="s">
        <v>206</v>
      </c>
      <c r="C99" s="252" t="s">
        <v>156</v>
      </c>
      <c r="D99" s="257">
        <f>SUM(VLOOKUP($F$11,'Анализ стоимости'!$A$4:$DK$59,46,0),D96)</f>
        <v>745480</v>
      </c>
      <c r="E99" s="136"/>
      <c r="J99" s="136">
        <f t="shared" ref="J99:J105" si="63">IF(D99=0,"",1)</f>
        <v>1</v>
      </c>
    </row>
    <row r="100" spans="1:10">
      <c r="A100" s="252">
        <f>IF(D100=0,0,A99+1)</f>
        <v>14</v>
      </c>
      <c r="B100" s="258" t="s">
        <v>159</v>
      </c>
      <c r="C100" s="252" t="s">
        <v>156</v>
      </c>
      <c r="D100" s="257">
        <f>VLOOKUP($F$11,'Анализ стоимости'!$A$4:$DK$59,56,0)</f>
        <v>134187</v>
      </c>
      <c r="E100" s="136"/>
      <c r="J100" s="136">
        <f t="shared" si="63"/>
        <v>1</v>
      </c>
    </row>
    <row r="101" spans="1:10">
      <c r="A101" s="252">
        <f>IF(D101=0,0,A100+1)</f>
        <v>15</v>
      </c>
      <c r="B101" s="258" t="s">
        <v>205</v>
      </c>
      <c r="C101" s="252" t="s">
        <v>156</v>
      </c>
      <c r="D101" s="257">
        <f>SUM(D99:D100)</f>
        <v>879667</v>
      </c>
      <c r="E101" s="254">
        <f>VLOOKUP($F$11,'Анализ стоимости'!$A$4:$DK$59,76,0)</f>
        <v>879667</v>
      </c>
      <c r="J101" s="136">
        <f t="shared" si="63"/>
        <v>1</v>
      </c>
    </row>
    <row r="102" spans="1:10" ht="31.5">
      <c r="A102" s="252">
        <f>IF(D102=0,0,IF(D101=0,IF(D97=0,A93+1,A97+1),A101+1))</f>
        <v>0</v>
      </c>
      <c r="B102" s="258" t="s">
        <v>204</v>
      </c>
      <c r="C102" s="252" t="s">
        <v>156</v>
      </c>
      <c r="D102" s="257">
        <f>VLOOKUP($F$11,'Анализ стоимости'!$A$4:$DK$59,41,0)-VLOOKUP($F$11,'Анализ стоимости'!$A$4:$DK$59,46,0)+D97</f>
        <v>0</v>
      </c>
      <c r="J102" s="136" t="str">
        <f t="shared" si="63"/>
        <v/>
      </c>
    </row>
    <row r="103" spans="1:10">
      <c r="A103" s="252">
        <f>IF(D103=0,0,A102+1)</f>
        <v>0</v>
      </c>
      <c r="B103" s="258" t="s">
        <v>159</v>
      </c>
      <c r="C103" s="252" t="s">
        <v>156</v>
      </c>
      <c r="D103" s="257">
        <f>VLOOKUP($F$11,'Анализ стоимости'!$A$4:$DK$59,66,0)</f>
        <v>0</v>
      </c>
      <c r="J103" s="136" t="str">
        <f t="shared" si="63"/>
        <v/>
      </c>
    </row>
    <row r="104" spans="1:10">
      <c r="A104" s="252">
        <f>IF(D104=0,0,A103+1)</f>
        <v>0</v>
      </c>
      <c r="B104" s="258" t="s">
        <v>203</v>
      </c>
      <c r="C104" s="252" t="s">
        <v>156</v>
      </c>
      <c r="D104" s="257">
        <f>SUM(D102:D103)</f>
        <v>0</v>
      </c>
      <c r="E104" s="254">
        <f>VLOOKUP($F$11,'Анализ стоимости'!$A$4:$DK$59,77,0)</f>
        <v>0</v>
      </c>
      <c r="J104" s="136" t="str">
        <f t="shared" si="63"/>
        <v/>
      </c>
    </row>
    <row r="105" spans="1:10">
      <c r="A105" s="252">
        <f>IF(D105=0,0,A104+1)</f>
        <v>0</v>
      </c>
      <c r="B105" s="258" t="s">
        <v>158</v>
      </c>
      <c r="C105" s="252" t="s">
        <v>156</v>
      </c>
      <c r="D105" s="257">
        <f>IF(OR(D101=0,D104=0),0,D104+D101)</f>
        <v>0</v>
      </c>
      <c r="E105" s="254">
        <f>VLOOKUP($F$11,'Анализ стоимости'!$A$4:$DK$59,67,0)</f>
        <v>879667</v>
      </c>
      <c r="J105" s="136" t="str">
        <f t="shared" si="63"/>
        <v/>
      </c>
    </row>
    <row r="106" spans="1:10">
      <c r="A106" s="262"/>
      <c r="B106" s="262"/>
      <c r="C106" s="262"/>
      <c r="D106" s="263"/>
      <c r="J106" s="136">
        <f>IF($F$11=0,"",1)</f>
        <v>1</v>
      </c>
    </row>
    <row r="107" spans="1:10" ht="31.5" customHeight="1">
      <c r="A107" s="289" t="str">
        <f>'Анализ стоимости'!M$52</f>
        <v>Заместитель главы Вышестеблиевского сельского поселения Темрюкского района</v>
      </c>
      <c r="B107" s="290"/>
      <c r="C107" s="264"/>
      <c r="D107" s="265" t="str">
        <f>CONCATENATE("_____________________ ",'Анализ стоимости'!M$53)</f>
        <v>_____________________ Н.Д.Шевченко</v>
      </c>
      <c r="G107" s="267" t="str">
        <f>A107</f>
        <v>Заместитель главы Вышестеблиевского сельского поселения Темрюкского района</v>
      </c>
      <c r="J107" s="136">
        <f>IF($F$11=0,"",1)</f>
        <v>1</v>
      </c>
    </row>
    <row r="108" spans="1:10">
      <c r="A108" s="269"/>
      <c r="B108" s="269"/>
      <c r="C108" s="269"/>
      <c r="D108" s="270"/>
      <c r="J108" s="136">
        <f>IF($F$11=0,"",1)</f>
        <v>1</v>
      </c>
    </row>
    <row r="109" spans="1:10">
      <c r="A109" s="291">
        <f ca="1">TODAY()</f>
        <v>41941</v>
      </c>
      <c r="B109" s="291"/>
      <c r="C109" s="224"/>
      <c r="D109" s="224"/>
      <c r="J109" s="136">
        <f>IF($F$11=0,"",1)</f>
        <v>1</v>
      </c>
    </row>
    <row r="110" spans="1:10">
      <c r="A110" s="295" t="s">
        <v>172</v>
      </c>
      <c r="B110" s="295"/>
      <c r="C110" s="295"/>
      <c r="D110" s="295"/>
      <c r="G110" s="226"/>
      <c r="H110" s="226"/>
      <c r="J110" s="136" t="str">
        <f t="shared" ref="J110:J127" si="64">IF($F$12=0,"",1)</f>
        <v/>
      </c>
    </row>
    <row r="111" spans="1:10">
      <c r="A111" s="296" t="e">
        <f>CONCATENATE("Наименование объекта: ",VLOOKUP($F$12,'Анализ стоимости'!$A$4:$DK$59,11+2,0))</f>
        <v>#N/A</v>
      </c>
      <c r="B111" s="296"/>
      <c r="C111" s="296"/>
      <c r="D111" s="296"/>
      <c r="I111" s="276" t="e">
        <f>A111</f>
        <v>#N/A</v>
      </c>
      <c r="J111" s="136" t="str">
        <f t="shared" si="64"/>
        <v/>
      </c>
    </row>
    <row r="112" spans="1:10" s="237" customFormat="1" ht="5.25">
      <c r="A112" s="246"/>
      <c r="B112" s="235"/>
      <c r="C112" s="235"/>
      <c r="D112" s="235"/>
      <c r="G112" s="238"/>
      <c r="H112" s="238"/>
      <c r="I112" s="273"/>
      <c r="J112" s="277" t="str">
        <f t="shared" si="64"/>
        <v/>
      </c>
    </row>
    <row r="113" spans="1:10">
      <c r="A113" s="248" t="s">
        <v>149</v>
      </c>
      <c r="B113" s="241"/>
      <c r="C113" s="241"/>
      <c r="D113" s="241"/>
      <c r="J113" s="136" t="str">
        <f t="shared" si="64"/>
        <v/>
      </c>
    </row>
    <row r="114" spans="1:10">
      <c r="A114" s="297" t="s">
        <v>150</v>
      </c>
      <c r="B114" s="297"/>
      <c r="C114" s="297"/>
      <c r="D114" s="297"/>
      <c r="J114" s="136" t="str">
        <f t="shared" si="64"/>
        <v/>
      </c>
    </row>
    <row r="115" spans="1:10" ht="47.25" customHeight="1">
      <c r="A115" s="249" t="s">
        <v>53</v>
      </c>
      <c r="B115" s="249" t="s">
        <v>87</v>
      </c>
      <c r="C115" s="298" t="e">
        <f>CONCATENATE("Стоимость  согласно сметной документации (руб.) в текущих ценах по состоянию на ",VLOOKUP($F$12,'Анализ стоимости'!$A$4:$BY$59,6+2,0)," г.")</f>
        <v>#N/A</v>
      </c>
      <c r="D115" s="299"/>
      <c r="H115" s="250" t="e">
        <f>C115</f>
        <v>#N/A</v>
      </c>
      <c r="J115" s="136" t="str">
        <f t="shared" si="64"/>
        <v/>
      </c>
    </row>
    <row r="116" spans="1:10">
      <c r="A116" s="252">
        <v>1</v>
      </c>
      <c r="B116" s="253" t="s">
        <v>28</v>
      </c>
      <c r="C116" s="292" t="e">
        <f>VLOOKUP($F$12,'Анализ стоимости'!$A$4:$BY$59,12+2,0)</f>
        <v>#N/A</v>
      </c>
      <c r="D116" s="293"/>
      <c r="J116" s="136" t="str">
        <f t="shared" si="64"/>
        <v/>
      </c>
    </row>
    <row r="117" spans="1:10">
      <c r="A117" s="252">
        <v>2</v>
      </c>
      <c r="B117" s="253" t="s">
        <v>23</v>
      </c>
      <c r="C117" s="292" t="e">
        <f>VLOOKUP($F$12,'Анализ стоимости'!$A$4:$DK$59,13+2,0)</f>
        <v>#N/A</v>
      </c>
      <c r="D117" s="293"/>
      <c r="J117" s="136" t="str">
        <f t="shared" si="64"/>
        <v/>
      </c>
    </row>
    <row r="118" spans="1:10" ht="31.5">
      <c r="A118" s="252">
        <v>3</v>
      </c>
      <c r="B118" s="253" t="s">
        <v>2</v>
      </c>
      <c r="C118" s="292" t="e">
        <f>VLOOKUP($F$12,'Анализ стоимости'!$A$4:$DK$59,14+2,0)</f>
        <v>#N/A</v>
      </c>
      <c r="D118" s="293"/>
      <c r="J118" s="136" t="str">
        <f t="shared" si="64"/>
        <v/>
      </c>
    </row>
    <row r="119" spans="1:10">
      <c r="A119" s="252">
        <v>4</v>
      </c>
      <c r="B119" s="253" t="s">
        <v>24</v>
      </c>
      <c r="C119" s="292" t="e">
        <f>VLOOKUP($F$12,'Анализ стоимости'!$A$4:$DK$59,15+2,0)</f>
        <v>#N/A</v>
      </c>
      <c r="D119" s="293"/>
      <c r="J119" s="136" t="str">
        <f t="shared" si="64"/>
        <v/>
      </c>
    </row>
    <row r="120" spans="1:10">
      <c r="A120" s="252">
        <v>5</v>
      </c>
      <c r="B120" s="253" t="s">
        <v>5</v>
      </c>
      <c r="C120" s="292" t="e">
        <f>VLOOKUP($F$12,'Анализ стоимости'!$A$4:$DK$59,16+2,0)</f>
        <v>#N/A</v>
      </c>
      <c r="D120" s="293"/>
      <c r="J120" s="136" t="str">
        <f t="shared" si="64"/>
        <v/>
      </c>
    </row>
    <row r="121" spans="1:10">
      <c r="A121" s="252">
        <v>6</v>
      </c>
      <c r="B121" s="253" t="s">
        <v>10</v>
      </c>
      <c r="C121" s="292" t="e">
        <f>VLOOKUP($F$12,'Анализ стоимости'!$A$4:$DK$59,20+2,0)</f>
        <v>#N/A</v>
      </c>
      <c r="D121" s="293"/>
      <c r="J121" s="136" t="str">
        <f t="shared" si="64"/>
        <v/>
      </c>
    </row>
    <row r="122" spans="1:10">
      <c r="A122" s="252">
        <v>7</v>
      </c>
      <c r="B122" s="253" t="s">
        <v>79</v>
      </c>
      <c r="C122" s="292" t="e">
        <f>VLOOKUP($F$12,'Анализ стоимости'!$A$4:$DK$59,21+2,0)+VLOOKUP($F$12,'Анализ стоимости'!$A$4:$DK$59,23+2,0)+VLOOKUP($F$12,'Анализ стоимости'!$A$4:$DK$59,24+2,0)+VLOOKUP($F$12,'Анализ стоимости'!$A$4:$DK$59,25+2,0)+VLOOKUP($F$12,'Анализ стоимости'!$A$4:$DK$59,26+2,0)+VLOOKUP($F$12,'Анализ стоимости'!$A$4:$DK$59,27+2,0)+VLOOKUP($F$12,'Анализ стоимости'!$A$4:$DK$59,28+2,0)+VLOOKUP($F$12,'Анализ стоимости'!$A$4:$DK$59,29+2,0)</f>
        <v>#N/A</v>
      </c>
      <c r="D122" s="293"/>
      <c r="J122" s="136" t="str">
        <f t="shared" si="64"/>
        <v/>
      </c>
    </row>
    <row r="123" spans="1:10">
      <c r="A123" s="252">
        <v>8</v>
      </c>
      <c r="B123" s="253" t="s">
        <v>46</v>
      </c>
      <c r="C123" s="292" t="e">
        <f>VLOOKUP($F$12,'Анализ стоимости'!$A$4:$DK$59,34+2,0)</f>
        <v>#N/A</v>
      </c>
      <c r="D123" s="293"/>
      <c r="J123" s="136" t="str">
        <f t="shared" si="64"/>
        <v/>
      </c>
    </row>
    <row r="124" spans="1:10">
      <c r="A124" s="252">
        <v>9</v>
      </c>
      <c r="B124" s="253" t="s">
        <v>169</v>
      </c>
      <c r="C124" s="292" t="e">
        <f>SUM(C116:D123)</f>
        <v>#N/A</v>
      </c>
      <c r="D124" s="293"/>
      <c r="J124" s="136" t="str">
        <f t="shared" si="64"/>
        <v/>
      </c>
    </row>
    <row r="125" spans="1:10">
      <c r="A125" s="294" t="s">
        <v>161</v>
      </c>
      <c r="B125" s="294"/>
      <c r="C125" s="294"/>
      <c r="D125" s="294"/>
      <c r="J125" s="136" t="str">
        <f t="shared" si="64"/>
        <v/>
      </c>
    </row>
    <row r="126" spans="1:10" ht="31.5">
      <c r="A126" s="255" t="s">
        <v>53</v>
      </c>
      <c r="B126" s="249" t="s">
        <v>15</v>
      </c>
      <c r="C126" s="249" t="s">
        <v>152</v>
      </c>
      <c r="D126" s="249" t="s">
        <v>88</v>
      </c>
      <c r="J126" s="136" t="str">
        <f t="shared" si="64"/>
        <v/>
      </c>
    </row>
    <row r="127" spans="1:10">
      <c r="A127" s="252">
        <v>10</v>
      </c>
      <c r="B127" s="252" t="e">
        <f>VLOOKUP((VLOOKUP($F$12,'Анализ стоимости'!$A$4:$BY$59,12,0)),'Расчет инфляции'!$BD$5:$BE$22,2,0)</f>
        <v>#N/A</v>
      </c>
      <c r="C127" s="252"/>
      <c r="D127" s="253"/>
      <c r="J127" s="136" t="str">
        <f t="shared" si="64"/>
        <v/>
      </c>
    </row>
    <row r="128" spans="1:10">
      <c r="A128" s="252" t="e">
        <f>IF(D128=0,0,A127+1)</f>
        <v>#N/A</v>
      </c>
      <c r="B128" s="253" t="e">
        <f>CONCATENATE("2014 г. (",CHOOSE(VLOOKUP(F$12,'Анализ стоимости'!$A$4:$DK$90,68,0),"Январь","Февраль","Март","Апрель","Май","Июнь","Июль","Август","Сентябрь","Октябрь","Ноябрь","Декабрь")," - ",CHOOSE(VLOOKUP(F$12,'Анализ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8" s="252" t="s">
        <v>153</v>
      </c>
      <c r="D128" s="278" t="e">
        <f>IF(D130=0,0,VLOOKUP($F$12,'Анализ стоимости'!$A$4:$DK$59,74,0)*100+100)</f>
        <v>#N/A</v>
      </c>
      <c r="J128" s="136" t="e">
        <f>IF(D128=0,"",1)</f>
        <v>#N/A</v>
      </c>
    </row>
    <row r="129" spans="1:10">
      <c r="A129" s="252" t="e">
        <f>IF(D129=0,0,IF(D128=0,A127+1,A128+1))</f>
        <v>#N/A</v>
      </c>
      <c r="B129" s="253" t="e">
        <f>CONCATENATE("2015 г. (",CHOOSE(VLOOKUP(F$12,'Анализ стоимости'!$A$4:$DK$90,70,0),"Январь","Февраль","Март","Апрель","Май","Июнь","Июль","Август","Сентябрь","Октябрь","Ноябрь","Декабрь")," - ",CHOOSE(VLOOKUP(F$12,'Анализ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9" s="252" t="s">
        <v>153</v>
      </c>
      <c r="D129" s="278" t="e">
        <f>IF(D131=0,0,VLOOKUP($F$12,'Анализ стоимости'!$A$4:$DK$59,75,0)*100+100)</f>
        <v>#N/A</v>
      </c>
      <c r="J129" s="136" t="e">
        <f t="shared" ref="J129:J131" si="65">IF(D129=0,"",1)</f>
        <v>#N/A</v>
      </c>
    </row>
    <row r="130" spans="1:10">
      <c r="A130" s="252" t="e">
        <f>IF(D130=0,0,IF(D129=0,A128+1,A129+1))</f>
        <v>#N/A</v>
      </c>
      <c r="B130" s="253" t="s">
        <v>154</v>
      </c>
      <c r="C130" s="252" t="s">
        <v>156</v>
      </c>
      <c r="D130" s="257" t="e">
        <f>VLOOKUP($F$12,'Анализ стоимости'!$A$4:$DK$59,51,0)</f>
        <v>#N/A</v>
      </c>
      <c r="J130" s="136" t="e">
        <f t="shared" si="65"/>
        <v>#N/A</v>
      </c>
    </row>
    <row r="131" spans="1:10">
      <c r="A131" s="252" t="e">
        <f>IF(D131=0,0,IF(D130=0,A129+1,A130+1))</f>
        <v>#N/A</v>
      </c>
      <c r="B131" s="253" t="s">
        <v>155</v>
      </c>
      <c r="C131" s="252" t="s">
        <v>156</v>
      </c>
      <c r="D131" s="257" t="e">
        <f>VLOOKUP($F$12,'Анализ стоимости'!$A$4:$DK$59,61,0)</f>
        <v>#N/A</v>
      </c>
      <c r="J131" s="136" t="e">
        <f t="shared" si="65"/>
        <v>#N/A</v>
      </c>
    </row>
    <row r="132" spans="1:10">
      <c r="A132" s="294" t="s">
        <v>157</v>
      </c>
      <c r="B132" s="294"/>
      <c r="C132" s="294"/>
      <c r="D132" s="294"/>
      <c r="J132" s="136" t="str">
        <f>IF($F$12=0,"",1)</f>
        <v/>
      </c>
    </row>
    <row r="133" spans="1:10" ht="31.5">
      <c r="A133" s="252" t="e">
        <f>IF(D133=0,0,IF(D131=0,IF(D130=0,A127+1,A130+1),A131+1))</f>
        <v>#N/A</v>
      </c>
      <c r="B133" s="258" t="s">
        <v>206</v>
      </c>
      <c r="C133" s="252" t="s">
        <v>156</v>
      </c>
      <c r="D133" s="257" t="e">
        <f>SUM(VLOOKUP($F$12,'Анализ стоимости'!$A$4:$DK$59,46,0),D130)</f>
        <v>#N/A</v>
      </c>
      <c r="E133" s="136"/>
      <c r="J133" s="136" t="e">
        <f t="shared" ref="J133:J139" si="66">IF(D133=0,"",1)</f>
        <v>#N/A</v>
      </c>
    </row>
    <row r="134" spans="1:10">
      <c r="A134" s="252" t="e">
        <f>IF(D134=0,0,A133+1)</f>
        <v>#N/A</v>
      </c>
      <c r="B134" s="258" t="s">
        <v>159</v>
      </c>
      <c r="C134" s="252" t="s">
        <v>156</v>
      </c>
      <c r="D134" s="257" t="e">
        <f>VLOOKUP($F$12,'Анализ стоимости'!$A$4:$DK$59,56,0)</f>
        <v>#N/A</v>
      </c>
      <c r="E134" s="136"/>
      <c r="J134" s="136" t="e">
        <f t="shared" si="66"/>
        <v>#N/A</v>
      </c>
    </row>
    <row r="135" spans="1:10">
      <c r="A135" s="252" t="e">
        <f>IF(D135=0,0,A134+1)</f>
        <v>#N/A</v>
      </c>
      <c r="B135" s="258" t="s">
        <v>205</v>
      </c>
      <c r="C135" s="252" t="s">
        <v>156</v>
      </c>
      <c r="D135" s="257" t="e">
        <f>SUM(D133:D134)</f>
        <v>#N/A</v>
      </c>
      <c r="E135" s="254" t="e">
        <f>VLOOKUP($F$12,'Анализ стоимости'!$A$4:$DK$59,76,0)</f>
        <v>#N/A</v>
      </c>
      <c r="J135" s="136" t="e">
        <f t="shared" si="66"/>
        <v>#N/A</v>
      </c>
    </row>
    <row r="136" spans="1:10" ht="31.5">
      <c r="A136" s="252" t="e">
        <f>IF(D136=0,0,IF(D135=0,IF(D131=0,A127+1,A131+1),A135+1))</f>
        <v>#N/A</v>
      </c>
      <c r="B136" s="258" t="s">
        <v>204</v>
      </c>
      <c r="C136" s="252" t="s">
        <v>156</v>
      </c>
      <c r="D136" s="257" t="e">
        <f>VLOOKUP($F$12,'Анализ стоимости'!$A$4:$DK$59,41,0)-VLOOKUP($F$12,'Анализ стоимости'!$A$4:$DK$59,46,0)+D131</f>
        <v>#N/A</v>
      </c>
      <c r="J136" s="136" t="e">
        <f t="shared" si="66"/>
        <v>#N/A</v>
      </c>
    </row>
    <row r="137" spans="1:10">
      <c r="A137" s="252" t="e">
        <f>IF(D137=0,0,A136+1)</f>
        <v>#N/A</v>
      </c>
      <c r="B137" s="258" t="s">
        <v>159</v>
      </c>
      <c r="C137" s="252" t="s">
        <v>156</v>
      </c>
      <c r="D137" s="257" t="e">
        <f>VLOOKUP($F$12,'Анализ стоимости'!$A$4:$DK$59,66,0)</f>
        <v>#N/A</v>
      </c>
      <c r="J137" s="136" t="e">
        <f t="shared" si="66"/>
        <v>#N/A</v>
      </c>
    </row>
    <row r="138" spans="1:10">
      <c r="A138" s="252" t="e">
        <f>IF(D138=0,0,A137+1)</f>
        <v>#N/A</v>
      </c>
      <c r="B138" s="258" t="s">
        <v>203</v>
      </c>
      <c r="C138" s="252" t="s">
        <v>156</v>
      </c>
      <c r="D138" s="257" t="e">
        <f>SUM(D136:D137)</f>
        <v>#N/A</v>
      </c>
      <c r="E138" s="254" t="e">
        <f>VLOOKUP($F$12,'Анализ стоимости'!$A$4:$DK$59,77,0)</f>
        <v>#N/A</v>
      </c>
      <c r="J138" s="136" t="e">
        <f t="shared" si="66"/>
        <v>#N/A</v>
      </c>
    </row>
    <row r="139" spans="1:10">
      <c r="A139" s="252" t="e">
        <f>IF(D139=0,0,A138+1)</f>
        <v>#N/A</v>
      </c>
      <c r="B139" s="258" t="s">
        <v>158</v>
      </c>
      <c r="C139" s="252" t="s">
        <v>156</v>
      </c>
      <c r="D139" s="257" t="e">
        <f>IF(OR(D135=0,D138=0),0,D138+D135)</f>
        <v>#N/A</v>
      </c>
      <c r="E139" s="254" t="e">
        <f>VLOOKUP($F$12,'Анализ стоимости'!$A$4:$DK$59,67,0)</f>
        <v>#N/A</v>
      </c>
      <c r="J139" s="136" t="e">
        <f t="shared" si="66"/>
        <v>#N/A</v>
      </c>
    </row>
    <row r="140" spans="1:10">
      <c r="A140" s="262"/>
      <c r="B140" s="262"/>
      <c r="C140" s="262"/>
      <c r="D140" s="263"/>
      <c r="J140" s="136" t="str">
        <f>IF($F$12=0,"",1)</f>
        <v/>
      </c>
    </row>
    <row r="141" spans="1:10" ht="31.5" customHeight="1">
      <c r="A141" s="289" t="str">
        <f>'Анализ стоимости'!M$52</f>
        <v>Заместитель главы Вышестеблиевского сельского поселения Темрюкского района</v>
      </c>
      <c r="B141" s="290"/>
      <c r="C141" s="264"/>
      <c r="D141" s="265" t="str">
        <f>CONCATENATE("_____________________ ",'Анализ стоимости'!M$53)</f>
        <v>_____________________ Н.Д.Шевченко</v>
      </c>
      <c r="G141" s="267" t="str">
        <f>A141</f>
        <v>Заместитель главы Вышестеблиевского сельского поселения Темрюкского района</v>
      </c>
      <c r="J141" s="136" t="str">
        <f>IF($F$12=0,"",1)</f>
        <v/>
      </c>
    </row>
    <row r="142" spans="1:10" s="237" customFormat="1" ht="5.25">
      <c r="A142" s="269"/>
      <c r="B142" s="269"/>
      <c r="C142" s="269"/>
      <c r="D142" s="270"/>
      <c r="G142" s="238"/>
      <c r="H142" s="238"/>
      <c r="I142" s="273"/>
      <c r="J142" s="277" t="str">
        <f>IF($F$12=0,"",1)</f>
        <v/>
      </c>
    </row>
    <row r="143" spans="1:10">
      <c r="A143" s="291">
        <f ca="1">TODAY()</f>
        <v>41941</v>
      </c>
      <c r="B143" s="291"/>
      <c r="C143" s="224"/>
      <c r="D143" s="224"/>
      <c r="J143" s="136" t="str">
        <f>IF($F$12=0,"",1)</f>
        <v/>
      </c>
    </row>
    <row r="144" spans="1:10">
      <c r="A144" s="295" t="s">
        <v>173</v>
      </c>
      <c r="B144" s="295"/>
      <c r="C144" s="295"/>
      <c r="D144" s="295"/>
      <c r="G144" s="226"/>
      <c r="H144" s="226"/>
      <c r="J144" s="136" t="str">
        <f t="shared" ref="J144:J161" si="67">IF($F$13=0,"",1)</f>
        <v/>
      </c>
    </row>
    <row r="145" spans="1:10">
      <c r="A145" s="296" t="e">
        <f>CONCATENATE("Наименование объекта: ",VLOOKUP($F$13,'Анализ стоимости'!$A$4:$DK$59,11+2,0))</f>
        <v>#N/A</v>
      </c>
      <c r="B145" s="296"/>
      <c r="C145" s="296"/>
      <c r="D145" s="296"/>
      <c r="I145" s="276" t="e">
        <f>A145</f>
        <v>#N/A</v>
      </c>
      <c r="J145" s="136" t="str">
        <f t="shared" si="67"/>
        <v/>
      </c>
    </row>
    <row r="146" spans="1:10" s="237" customFormat="1" ht="5.25">
      <c r="A146" s="246"/>
      <c r="B146" s="235"/>
      <c r="C146" s="235"/>
      <c r="D146" s="235"/>
      <c r="G146" s="238"/>
      <c r="H146" s="238"/>
      <c r="I146" s="273"/>
      <c r="J146" s="277" t="str">
        <f t="shared" si="67"/>
        <v/>
      </c>
    </row>
    <row r="147" spans="1:10">
      <c r="A147" s="248" t="s">
        <v>149</v>
      </c>
      <c r="B147" s="241"/>
      <c r="C147" s="241"/>
      <c r="D147" s="241"/>
      <c r="J147" s="136" t="str">
        <f t="shared" si="67"/>
        <v/>
      </c>
    </row>
    <row r="148" spans="1:10">
      <c r="A148" s="297" t="s">
        <v>150</v>
      </c>
      <c r="B148" s="297"/>
      <c r="C148" s="297"/>
      <c r="D148" s="297"/>
      <c r="J148" s="136" t="str">
        <f t="shared" si="67"/>
        <v/>
      </c>
    </row>
    <row r="149" spans="1:10" ht="47.25" customHeight="1">
      <c r="A149" s="249" t="s">
        <v>53</v>
      </c>
      <c r="B149" s="249" t="s">
        <v>87</v>
      </c>
      <c r="C149" s="298" t="e">
        <f>CONCATENATE("Стоимость  согласно сметной документации (руб.) в текущих ценах по состоянию на ",VLOOKUP($F$13,'Анализ стоимости'!$A$4:$BY$59,6+2,0)," г.")</f>
        <v>#N/A</v>
      </c>
      <c r="D149" s="299"/>
      <c r="H149" s="250" t="e">
        <f>C149</f>
        <v>#N/A</v>
      </c>
      <c r="J149" s="136" t="str">
        <f t="shared" si="67"/>
        <v/>
      </c>
    </row>
    <row r="150" spans="1:10">
      <c r="A150" s="252">
        <v>1</v>
      </c>
      <c r="B150" s="253" t="s">
        <v>28</v>
      </c>
      <c r="C150" s="292" t="e">
        <f>VLOOKUP($F$13,'Анализ стоимости'!$A$4:$BY$59,12+2,0)</f>
        <v>#N/A</v>
      </c>
      <c r="D150" s="293"/>
      <c r="J150" s="136" t="str">
        <f t="shared" si="67"/>
        <v/>
      </c>
    </row>
    <row r="151" spans="1:10">
      <c r="A151" s="252">
        <v>2</v>
      </c>
      <c r="B151" s="253" t="s">
        <v>23</v>
      </c>
      <c r="C151" s="292" t="e">
        <f>VLOOKUP($F$13,'Анализ стоимости'!$A$4:$DK$59,13+2,0)</f>
        <v>#N/A</v>
      </c>
      <c r="D151" s="293"/>
      <c r="J151" s="136" t="str">
        <f t="shared" si="67"/>
        <v/>
      </c>
    </row>
    <row r="152" spans="1:10" ht="31.5">
      <c r="A152" s="252">
        <v>3</v>
      </c>
      <c r="B152" s="253" t="s">
        <v>2</v>
      </c>
      <c r="C152" s="292" t="e">
        <f>VLOOKUP($F$13,'Анализ стоимости'!$A$4:$DK$59,14+2,0)</f>
        <v>#N/A</v>
      </c>
      <c r="D152" s="293"/>
      <c r="J152" s="136" t="str">
        <f t="shared" si="67"/>
        <v/>
      </c>
    </row>
    <row r="153" spans="1:10">
      <c r="A153" s="252">
        <v>4</v>
      </c>
      <c r="B153" s="253" t="s">
        <v>24</v>
      </c>
      <c r="C153" s="292" t="e">
        <f>VLOOKUP($F$13,'Анализ стоимости'!$A$4:$DK$59,15+2,0)</f>
        <v>#N/A</v>
      </c>
      <c r="D153" s="293"/>
      <c r="J153" s="136" t="str">
        <f t="shared" si="67"/>
        <v/>
      </c>
    </row>
    <row r="154" spans="1:10">
      <c r="A154" s="252">
        <v>5</v>
      </c>
      <c r="B154" s="253" t="s">
        <v>5</v>
      </c>
      <c r="C154" s="292" t="e">
        <f>VLOOKUP($F$13,'Анализ стоимости'!$A$4:$DK$59,16+2,0)</f>
        <v>#N/A</v>
      </c>
      <c r="D154" s="293"/>
      <c r="J154" s="136" t="str">
        <f t="shared" si="67"/>
        <v/>
      </c>
    </row>
    <row r="155" spans="1:10">
      <c r="A155" s="252">
        <v>6</v>
      </c>
      <c r="B155" s="253" t="s">
        <v>10</v>
      </c>
      <c r="C155" s="292" t="e">
        <f>VLOOKUP($F$13,'Анализ стоимости'!$A$4:$DK$59,20+2,0)</f>
        <v>#N/A</v>
      </c>
      <c r="D155" s="293"/>
      <c r="J155" s="136" t="str">
        <f t="shared" si="67"/>
        <v/>
      </c>
    </row>
    <row r="156" spans="1:10">
      <c r="A156" s="252">
        <v>7</v>
      </c>
      <c r="B156" s="253" t="s">
        <v>79</v>
      </c>
      <c r="C156" s="292" t="e">
        <f>VLOOKUP($F$13,'Анализ стоимости'!$A$4:$DK$59,21+2,0)+VLOOKUP($F$13,'Анализ стоимости'!$A$4:$DK$59,23+2,0)+VLOOKUP($F$13,'Анализ стоимости'!$A$4:$DK$59,24+2,0)+VLOOKUP($F$13,'Анализ стоимости'!$A$4:$DK$59,25+2,0)+VLOOKUP($F$13,'Анализ стоимости'!$A$4:$DK$59,26+2,0)+VLOOKUP($F$13,'Анализ стоимости'!$A$4:$DK$59,27+2,0)+VLOOKUP($F$13,'Анализ стоимости'!$A$4:$DK$59,28+2,0)+VLOOKUP($F$13,'Анализ стоимости'!$A$4:$DK$59,29+2,0)</f>
        <v>#N/A</v>
      </c>
      <c r="D156" s="293"/>
      <c r="J156" s="136" t="str">
        <f t="shared" si="67"/>
        <v/>
      </c>
    </row>
    <row r="157" spans="1:10">
      <c r="A157" s="252">
        <v>8</v>
      </c>
      <c r="B157" s="253" t="s">
        <v>46</v>
      </c>
      <c r="C157" s="292" t="e">
        <f>VLOOKUP($F$13,'Анализ стоимости'!$A$4:$DK$59,34+2,0)</f>
        <v>#N/A</v>
      </c>
      <c r="D157" s="293"/>
      <c r="J157" s="136" t="str">
        <f t="shared" si="67"/>
        <v/>
      </c>
    </row>
    <row r="158" spans="1:10">
      <c r="A158" s="252">
        <v>9</v>
      </c>
      <c r="B158" s="253" t="s">
        <v>169</v>
      </c>
      <c r="C158" s="292" t="e">
        <f>SUM(C150:D157)</f>
        <v>#N/A</v>
      </c>
      <c r="D158" s="293"/>
      <c r="J158" s="136" t="str">
        <f t="shared" si="67"/>
        <v/>
      </c>
    </row>
    <row r="159" spans="1:10">
      <c r="A159" s="294" t="s">
        <v>161</v>
      </c>
      <c r="B159" s="294"/>
      <c r="C159" s="294"/>
      <c r="D159" s="294"/>
      <c r="J159" s="136" t="str">
        <f t="shared" si="67"/>
        <v/>
      </c>
    </row>
    <row r="160" spans="1:10" ht="31.5">
      <c r="A160" s="255" t="s">
        <v>53</v>
      </c>
      <c r="B160" s="249" t="s">
        <v>15</v>
      </c>
      <c r="C160" s="249" t="s">
        <v>152</v>
      </c>
      <c r="D160" s="249" t="s">
        <v>88</v>
      </c>
      <c r="J160" s="136" t="str">
        <f t="shared" si="67"/>
        <v/>
      </c>
    </row>
    <row r="161" spans="1:10">
      <c r="A161" s="252">
        <v>10</v>
      </c>
      <c r="B161" s="252" t="e">
        <f>VLOOKUP((VLOOKUP($F$13,'Анализ стоимости'!$A$4:$BY$59,12,0)),'Расчет инфляции'!$BD$5:$BE$22,2,0)</f>
        <v>#N/A</v>
      </c>
      <c r="C161" s="252"/>
      <c r="D161" s="253"/>
      <c r="J161" s="136" t="str">
        <f t="shared" si="67"/>
        <v/>
      </c>
    </row>
    <row r="162" spans="1:10">
      <c r="A162" s="252" t="e">
        <f>IF(D162=0,0,A161+1)</f>
        <v>#N/A</v>
      </c>
      <c r="B162" s="253" t="e">
        <f>CONCATENATE("2014 г. (",CHOOSE(VLOOKUP(F$13,'Анализ стоимости'!$A$4:$DK$90,68,0),"Январь","Февраль","Март","Апрель","Май","Июнь","Июль","Август","Сентябрь","Октябрь","Ноябрь","Декабрь")," - ",CHOOSE(VLOOKUP(F$13,'Анализ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62" s="252" t="s">
        <v>153</v>
      </c>
      <c r="D162" s="278" t="e">
        <f>IF(D164=0,0,VLOOKUP($F$13,'Анализ стоимости'!$A$4:$DK$59,74,0)*100+100)</f>
        <v>#N/A</v>
      </c>
      <c r="J162" s="136" t="e">
        <f>IF(D162=0,"",1)</f>
        <v>#N/A</v>
      </c>
    </row>
    <row r="163" spans="1:10">
      <c r="A163" s="252" t="e">
        <f>IF(D163=0,0,IF(D162=0,A161+1,A162+1))</f>
        <v>#N/A</v>
      </c>
      <c r="B163" s="253" t="e">
        <f>CONCATENATE("2015 г. (",CHOOSE(VLOOKUP(F$13,'Анализ стоимости'!$A$4:$DK$90,70,0),"Январь","Февраль","Март","Апрель","Май","Июнь","Июль","Август","Сентябрь","Октябрь","Ноябрь","Декабрь")," - ",CHOOSE(VLOOKUP(F$13,'Анализ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63" s="252" t="s">
        <v>153</v>
      </c>
      <c r="D163" s="278" t="e">
        <f>IF(D165=0,0,VLOOKUP($F$13,'Анализ стоимости'!$A$4:$DK$59,75,0)*100+100)</f>
        <v>#N/A</v>
      </c>
      <c r="J163" s="136" t="e">
        <f t="shared" ref="J163:J165" si="68">IF(D163=0,"",1)</f>
        <v>#N/A</v>
      </c>
    </row>
    <row r="164" spans="1:10">
      <c r="A164" s="252" t="e">
        <f>IF(D164=0,0,IF(D163=0,A162+1,A163+1))</f>
        <v>#N/A</v>
      </c>
      <c r="B164" s="253" t="s">
        <v>154</v>
      </c>
      <c r="C164" s="252" t="s">
        <v>156</v>
      </c>
      <c r="D164" s="257" t="e">
        <f>VLOOKUP($F$13,'Анализ стоимости'!$A$4:$DK$59,51,0)</f>
        <v>#N/A</v>
      </c>
      <c r="J164" s="136" t="e">
        <f t="shared" si="68"/>
        <v>#N/A</v>
      </c>
    </row>
    <row r="165" spans="1:10">
      <c r="A165" s="252" t="e">
        <f>IF(D165=0,0,IF(D164=0,A163+1,A164+1))</f>
        <v>#N/A</v>
      </c>
      <c r="B165" s="253" t="s">
        <v>155</v>
      </c>
      <c r="C165" s="252" t="s">
        <v>156</v>
      </c>
      <c r="D165" s="257" t="e">
        <f>VLOOKUP($F$13,'Анализ стоимости'!$A$4:$DK$59,61,0)</f>
        <v>#N/A</v>
      </c>
      <c r="J165" s="136" t="e">
        <f t="shared" si="68"/>
        <v>#N/A</v>
      </c>
    </row>
    <row r="166" spans="1:10">
      <c r="A166" s="294" t="s">
        <v>157</v>
      </c>
      <c r="B166" s="294"/>
      <c r="C166" s="294"/>
      <c r="D166" s="294"/>
      <c r="J166" s="136" t="str">
        <f>IF($F$13=0,"",1)</f>
        <v/>
      </c>
    </row>
    <row r="167" spans="1:10" ht="31.5">
      <c r="A167" s="252" t="e">
        <f>IF(D167=0,0,IF(D165=0,IF(D164=0,A161+1,A164+1),A165+1))</f>
        <v>#N/A</v>
      </c>
      <c r="B167" s="258" t="s">
        <v>206</v>
      </c>
      <c r="C167" s="252" t="s">
        <v>156</v>
      </c>
      <c r="D167" s="257" t="e">
        <f>SUM(VLOOKUP($F$13,'Анализ стоимости'!$A$4:$DK$59,46,0),D164)</f>
        <v>#N/A</v>
      </c>
      <c r="E167" s="136"/>
      <c r="J167" s="136" t="e">
        <f t="shared" ref="J167:J173" si="69">IF(D167=0,"",1)</f>
        <v>#N/A</v>
      </c>
    </row>
    <row r="168" spans="1:10">
      <c r="A168" s="252" t="e">
        <f>IF(D168=0,0,A167+1)</f>
        <v>#N/A</v>
      </c>
      <c r="B168" s="258" t="s">
        <v>159</v>
      </c>
      <c r="C168" s="252" t="s">
        <v>156</v>
      </c>
      <c r="D168" s="257" t="e">
        <f>VLOOKUP($F$13,'Анализ стоимости'!$A$4:$DK$59,56,0)</f>
        <v>#N/A</v>
      </c>
      <c r="E168" s="136"/>
      <c r="J168" s="136" t="e">
        <f t="shared" si="69"/>
        <v>#N/A</v>
      </c>
    </row>
    <row r="169" spans="1:10">
      <c r="A169" s="252" t="e">
        <f>IF(D169=0,0,A168+1)</f>
        <v>#N/A</v>
      </c>
      <c r="B169" s="258" t="s">
        <v>205</v>
      </c>
      <c r="C169" s="252" t="s">
        <v>156</v>
      </c>
      <c r="D169" s="257" t="e">
        <f>SUM(D167:D168)</f>
        <v>#N/A</v>
      </c>
      <c r="E169" s="254" t="e">
        <f>VLOOKUP($F$13,'Анализ стоимости'!$A$4:$DK$59,76,0)</f>
        <v>#N/A</v>
      </c>
      <c r="J169" s="136" t="e">
        <f t="shared" si="69"/>
        <v>#N/A</v>
      </c>
    </row>
    <row r="170" spans="1:10" ht="31.5">
      <c r="A170" s="252" t="e">
        <f>IF(D170=0,0,IF(D169=0,IF(D165=0,A161+1,A165+1),A169+1))</f>
        <v>#N/A</v>
      </c>
      <c r="B170" s="258" t="s">
        <v>204</v>
      </c>
      <c r="C170" s="252" t="s">
        <v>156</v>
      </c>
      <c r="D170" s="257" t="e">
        <f>VLOOKUP($F$13,'Анализ стоимости'!$A$4:$DK$59,41,0)-VLOOKUP($F$13,'Анализ стоимости'!$A$4:$DK$59,46,0)+D165</f>
        <v>#N/A</v>
      </c>
      <c r="J170" s="136" t="e">
        <f t="shared" si="69"/>
        <v>#N/A</v>
      </c>
    </row>
    <row r="171" spans="1:10">
      <c r="A171" s="252" t="e">
        <f>IF(D171=0,0,A170+1)</f>
        <v>#N/A</v>
      </c>
      <c r="B171" s="258" t="s">
        <v>159</v>
      </c>
      <c r="C171" s="252" t="s">
        <v>156</v>
      </c>
      <c r="D171" s="257" t="e">
        <f>VLOOKUP($F$13,'Анализ стоимости'!$A$4:$DK$59,66,0)</f>
        <v>#N/A</v>
      </c>
      <c r="J171" s="136" t="e">
        <f t="shared" si="69"/>
        <v>#N/A</v>
      </c>
    </row>
    <row r="172" spans="1:10">
      <c r="A172" s="252" t="e">
        <f>IF(D172=0,0,A171+1)</f>
        <v>#N/A</v>
      </c>
      <c r="B172" s="258" t="s">
        <v>203</v>
      </c>
      <c r="C172" s="252" t="s">
        <v>156</v>
      </c>
      <c r="D172" s="257" t="e">
        <f>SUM(D170:D171)</f>
        <v>#N/A</v>
      </c>
      <c r="E172" s="254" t="e">
        <f>VLOOKUP($F$13,'Анализ стоимости'!$A$4:$DK$59,77,0)</f>
        <v>#N/A</v>
      </c>
      <c r="J172" s="136" t="e">
        <f t="shared" si="69"/>
        <v>#N/A</v>
      </c>
    </row>
    <row r="173" spans="1:10">
      <c r="A173" s="252" t="e">
        <f>IF(D173=0,0,A172+1)</f>
        <v>#N/A</v>
      </c>
      <c r="B173" s="258" t="s">
        <v>158</v>
      </c>
      <c r="C173" s="252" t="s">
        <v>156</v>
      </c>
      <c r="D173" s="257" t="e">
        <f>IF(OR(D169=0,D172=0),0,D172+D169)</f>
        <v>#N/A</v>
      </c>
      <c r="E173" s="254" t="e">
        <f>VLOOKUP($F$13,'Анализ стоимости'!$A$4:$DK$59,67,0)</f>
        <v>#N/A</v>
      </c>
      <c r="J173" s="136" t="e">
        <f t="shared" si="69"/>
        <v>#N/A</v>
      </c>
    </row>
    <row r="174" spans="1:10">
      <c r="A174" s="262"/>
      <c r="B174" s="262"/>
      <c r="C174" s="262"/>
      <c r="D174" s="263"/>
      <c r="J174" s="136" t="str">
        <f>IF($F$13=0,"",1)</f>
        <v/>
      </c>
    </row>
    <row r="175" spans="1:10" ht="31.5" customHeight="1">
      <c r="A175" s="289" t="str">
        <f>'Анализ стоимости'!M$52</f>
        <v>Заместитель главы Вышестеблиевского сельского поселения Темрюкского района</v>
      </c>
      <c r="B175" s="290"/>
      <c r="C175" s="264"/>
      <c r="D175" s="265" t="str">
        <f>CONCATENATE("_____________________ ",'Анализ стоимости'!M$53)</f>
        <v>_____________________ Н.Д.Шевченко</v>
      </c>
      <c r="G175" s="267" t="str">
        <f>A175</f>
        <v>Заместитель главы Вышестеблиевского сельского поселения Темрюкского района</v>
      </c>
      <c r="J175" s="136" t="str">
        <f>IF($F$12=0,"",1)</f>
        <v/>
      </c>
    </row>
    <row r="176" spans="1:10" s="237" customFormat="1" ht="5.25">
      <c r="A176" s="269"/>
      <c r="B176" s="269"/>
      <c r="C176" s="269"/>
      <c r="D176" s="270"/>
      <c r="G176" s="238"/>
      <c r="H176" s="238"/>
      <c r="I176" s="273"/>
      <c r="J176" s="277" t="str">
        <f>IF($F$12=0,"",1)</f>
        <v/>
      </c>
    </row>
    <row r="177" spans="1:10">
      <c r="A177" s="291">
        <f ca="1">TODAY()</f>
        <v>41941</v>
      </c>
      <c r="B177" s="291"/>
      <c r="C177" s="224"/>
      <c r="D177" s="224"/>
      <c r="J177" s="136" t="str">
        <f>IF($F$13=0,"",1)</f>
        <v/>
      </c>
    </row>
    <row r="178" spans="1:10">
      <c r="A178" s="295" t="s">
        <v>174</v>
      </c>
      <c r="B178" s="295"/>
      <c r="C178" s="295"/>
      <c r="D178" s="295"/>
      <c r="G178" s="226"/>
      <c r="H178" s="226"/>
      <c r="J178" s="136" t="str">
        <f t="shared" ref="J178:J195" si="70">IF($F$14=0,"",1)</f>
        <v/>
      </c>
    </row>
    <row r="179" spans="1:10">
      <c r="A179" s="296" t="e">
        <f>CONCATENATE("Наименование объекта: ",VLOOKUP($F$14,'Анализ стоимости'!$A$4:$DK$59,11+2,0))</f>
        <v>#N/A</v>
      </c>
      <c r="B179" s="296"/>
      <c r="C179" s="296"/>
      <c r="D179" s="296"/>
      <c r="I179" s="276" t="e">
        <f>A179</f>
        <v>#N/A</v>
      </c>
      <c r="J179" s="136" t="str">
        <f t="shared" si="70"/>
        <v/>
      </c>
    </row>
    <row r="180" spans="1:10" s="237" customFormat="1" ht="5.25">
      <c r="A180" s="246"/>
      <c r="B180" s="235"/>
      <c r="C180" s="235"/>
      <c r="D180" s="235"/>
      <c r="G180" s="238"/>
      <c r="H180" s="238"/>
      <c r="I180" s="273"/>
      <c r="J180" s="277" t="str">
        <f t="shared" si="70"/>
        <v/>
      </c>
    </row>
    <row r="181" spans="1:10">
      <c r="A181" s="248" t="s">
        <v>149</v>
      </c>
      <c r="B181" s="241"/>
      <c r="C181" s="241"/>
      <c r="D181" s="241"/>
      <c r="J181" s="136" t="str">
        <f t="shared" si="70"/>
        <v/>
      </c>
    </row>
    <row r="182" spans="1:10">
      <c r="A182" s="297" t="s">
        <v>150</v>
      </c>
      <c r="B182" s="297"/>
      <c r="C182" s="297"/>
      <c r="D182" s="297"/>
      <c r="J182" s="136" t="str">
        <f t="shared" si="70"/>
        <v/>
      </c>
    </row>
    <row r="183" spans="1:10" ht="47.25" customHeight="1">
      <c r="A183" s="249" t="s">
        <v>53</v>
      </c>
      <c r="B183" s="249" t="s">
        <v>87</v>
      </c>
      <c r="C183" s="298" t="e">
        <f>CONCATENATE("Стоимость  согласно сметной документации (руб.) в текущих ценах по состоянию на ",VLOOKUP($F$14,'Анализ стоимости'!$A$4:$BY$59,6+2,0)," г.")</f>
        <v>#N/A</v>
      </c>
      <c r="D183" s="299"/>
      <c r="H183" s="250" t="e">
        <f>C183</f>
        <v>#N/A</v>
      </c>
      <c r="J183" s="136" t="str">
        <f t="shared" si="70"/>
        <v/>
      </c>
    </row>
    <row r="184" spans="1:10">
      <c r="A184" s="252">
        <v>1</v>
      </c>
      <c r="B184" s="253" t="s">
        <v>28</v>
      </c>
      <c r="C184" s="292" t="e">
        <f>VLOOKUP($F$14,'Анализ стоимости'!$A$4:$BY$59,12+2,0)</f>
        <v>#N/A</v>
      </c>
      <c r="D184" s="293"/>
      <c r="J184" s="136" t="str">
        <f t="shared" si="70"/>
        <v/>
      </c>
    </row>
    <row r="185" spans="1:10">
      <c r="A185" s="252">
        <v>2</v>
      </c>
      <c r="B185" s="253" t="s">
        <v>23</v>
      </c>
      <c r="C185" s="292" t="e">
        <f>VLOOKUP($F$14,'Анализ стоимости'!$A$4:$DK$59,13+2,0)</f>
        <v>#N/A</v>
      </c>
      <c r="D185" s="293"/>
      <c r="J185" s="136" t="str">
        <f t="shared" si="70"/>
        <v/>
      </c>
    </row>
    <row r="186" spans="1:10" ht="31.5">
      <c r="A186" s="252">
        <v>3</v>
      </c>
      <c r="B186" s="253" t="s">
        <v>2</v>
      </c>
      <c r="C186" s="292" t="e">
        <f>VLOOKUP($F$14,'Анализ стоимости'!$A$4:$DK$59,14+2,0)</f>
        <v>#N/A</v>
      </c>
      <c r="D186" s="293"/>
      <c r="J186" s="136" t="str">
        <f t="shared" si="70"/>
        <v/>
      </c>
    </row>
    <row r="187" spans="1:10">
      <c r="A187" s="252">
        <v>4</v>
      </c>
      <c r="B187" s="253" t="s">
        <v>24</v>
      </c>
      <c r="C187" s="292" t="e">
        <f>VLOOKUP($F$14,'Анализ стоимости'!$A$4:$DK$59,15+2,0)</f>
        <v>#N/A</v>
      </c>
      <c r="D187" s="293"/>
      <c r="J187" s="136" t="str">
        <f t="shared" si="70"/>
        <v/>
      </c>
    </row>
    <row r="188" spans="1:10">
      <c r="A188" s="252">
        <v>5</v>
      </c>
      <c r="B188" s="253" t="s">
        <v>5</v>
      </c>
      <c r="C188" s="292" t="e">
        <f>VLOOKUP($F$14,'Анализ стоимости'!$A$4:$DK$59,16+2,0)</f>
        <v>#N/A</v>
      </c>
      <c r="D188" s="293"/>
      <c r="J188" s="136" t="str">
        <f t="shared" si="70"/>
        <v/>
      </c>
    </row>
    <row r="189" spans="1:10">
      <c r="A189" s="252">
        <v>6</v>
      </c>
      <c r="B189" s="253" t="s">
        <v>10</v>
      </c>
      <c r="C189" s="292" t="e">
        <f>VLOOKUP($F$14,'Анализ стоимости'!$A$4:$DK$59,20+2,0)</f>
        <v>#N/A</v>
      </c>
      <c r="D189" s="293"/>
      <c r="J189" s="136" t="str">
        <f t="shared" si="70"/>
        <v/>
      </c>
    </row>
    <row r="190" spans="1:10">
      <c r="A190" s="252">
        <v>7</v>
      </c>
      <c r="B190" s="253" t="s">
        <v>79</v>
      </c>
      <c r="C190" s="292" t="e">
        <f>VLOOKUP($F$14,'Анализ стоимости'!$A$4:$DK$59,21+2,0)+VLOOKUP($F$14,'Анализ стоимости'!$A$4:$DK$59,23+2,0)+VLOOKUP($F$14,'Анализ стоимости'!$A$4:$DK$59,24+2,0)+VLOOKUP($F$14,'Анализ стоимости'!$A$4:$DK$59,25+2,0)+VLOOKUP($F$14,'Анализ стоимости'!$A$4:$DK$59,26+2,0)+VLOOKUP($F$14,'Анализ стоимости'!$A$4:$DK$59,27+2,0)+VLOOKUP($F$14,'Анализ стоимости'!$A$4:$DK$59,28+2,0)+VLOOKUP($F$14,'Анализ стоимости'!$A$4:$DK$59,29+2,0)</f>
        <v>#N/A</v>
      </c>
      <c r="D190" s="293"/>
      <c r="J190" s="136" t="str">
        <f t="shared" si="70"/>
        <v/>
      </c>
    </row>
    <row r="191" spans="1:10">
      <c r="A191" s="252">
        <v>8</v>
      </c>
      <c r="B191" s="253" t="s">
        <v>46</v>
      </c>
      <c r="C191" s="292" t="e">
        <f>VLOOKUP($F$14,'Анализ стоимости'!$A$4:$DK$59,34+2,0)</f>
        <v>#N/A</v>
      </c>
      <c r="D191" s="293"/>
      <c r="J191" s="136" t="str">
        <f t="shared" si="70"/>
        <v/>
      </c>
    </row>
    <row r="192" spans="1:10">
      <c r="A192" s="252">
        <v>9</v>
      </c>
      <c r="B192" s="253" t="s">
        <v>169</v>
      </c>
      <c r="C192" s="292" t="e">
        <f>SUM(C184:D191)</f>
        <v>#N/A</v>
      </c>
      <c r="D192" s="293"/>
      <c r="J192" s="136" t="str">
        <f t="shared" si="70"/>
        <v/>
      </c>
    </row>
    <row r="193" spans="1:10">
      <c r="A193" s="294" t="s">
        <v>161</v>
      </c>
      <c r="B193" s="294"/>
      <c r="C193" s="294"/>
      <c r="D193" s="294"/>
      <c r="J193" s="136" t="str">
        <f t="shared" si="70"/>
        <v/>
      </c>
    </row>
    <row r="194" spans="1:10" ht="31.5">
      <c r="A194" s="255" t="s">
        <v>53</v>
      </c>
      <c r="B194" s="249" t="s">
        <v>15</v>
      </c>
      <c r="C194" s="249" t="s">
        <v>152</v>
      </c>
      <c r="D194" s="249" t="s">
        <v>88</v>
      </c>
      <c r="J194" s="136" t="str">
        <f t="shared" si="70"/>
        <v/>
      </c>
    </row>
    <row r="195" spans="1:10">
      <c r="A195" s="252">
        <v>10</v>
      </c>
      <c r="B195" s="252" t="e">
        <f>VLOOKUP((VLOOKUP($F$14,'Анализ стоимости'!$A$4:$BY$59,12,0)),'Расчет инфляции'!$BD$5:$BE$22,2,0)</f>
        <v>#N/A</v>
      </c>
      <c r="C195" s="252"/>
      <c r="D195" s="253"/>
      <c r="J195" s="136" t="str">
        <f t="shared" si="70"/>
        <v/>
      </c>
    </row>
    <row r="196" spans="1:10">
      <c r="A196" s="252" t="e">
        <f>IF(D196=0,0,A195+1)</f>
        <v>#N/A</v>
      </c>
      <c r="B196" s="253" t="e">
        <f>CONCATENATE("2014 г. (",CHOOSE(VLOOKUP(F$14,'Анализ стоимости'!$A$4:$DK$90,68,0),"Январь","Февраль","Март","Апрель","Май","Июнь","Июль","Август","Сентябрь","Октябрь","Ноябрь","Декабрь")," - ",CHOOSE(VLOOKUP(F$14,'Анализ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96" s="252" t="s">
        <v>153</v>
      </c>
      <c r="D196" s="278" t="e">
        <f>IF(D198=0,0,VLOOKUP($F$14,'Анализ стоимости'!$A$4:$DK$59,74,0)*100+100)</f>
        <v>#N/A</v>
      </c>
      <c r="J196" s="136" t="e">
        <f>IF(D196=0,"",1)</f>
        <v>#N/A</v>
      </c>
    </row>
    <row r="197" spans="1:10">
      <c r="A197" s="252" t="e">
        <f>IF(D197=0,0,IF(D196=0,A195+1,A196+1))</f>
        <v>#N/A</v>
      </c>
      <c r="B197" s="253" t="e">
        <f>CONCATENATE("2015 г. (",CHOOSE(VLOOKUP(F$14,'Анализ стоимости'!$A$4:$DK$90,70,0),"Январь","Февраль","Март","Апрель","Май","Июнь","Июль","Август","Сентябрь","Октябрь","Ноябрь","Декабрь")," - ",CHOOSE(VLOOKUP(F$14,'Анализ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97" s="252" t="s">
        <v>153</v>
      </c>
      <c r="D197" s="278" t="e">
        <f>IF(D199=0,0,VLOOKUP($F$14,'Анализ стоимости'!$A$4:$DK$59,75,0)*100+100)</f>
        <v>#N/A</v>
      </c>
      <c r="J197" s="136" t="e">
        <f t="shared" ref="J197:J199" si="71">IF(D197=0,"",1)</f>
        <v>#N/A</v>
      </c>
    </row>
    <row r="198" spans="1:10">
      <c r="A198" s="252" t="e">
        <f>IF(D198=0,0,IF(D197=0,A196+1,A197+1))</f>
        <v>#N/A</v>
      </c>
      <c r="B198" s="253" t="s">
        <v>154</v>
      </c>
      <c r="C198" s="252" t="s">
        <v>156</v>
      </c>
      <c r="D198" s="257" t="e">
        <f>VLOOKUP($F$14,'Анализ стоимости'!$A$4:$DK$59,51,0)</f>
        <v>#N/A</v>
      </c>
      <c r="J198" s="136" t="e">
        <f t="shared" si="71"/>
        <v>#N/A</v>
      </c>
    </row>
    <row r="199" spans="1:10">
      <c r="A199" s="252" t="e">
        <f>IF(D199=0,0,IF(D198=0,A197+1,A198+1))</f>
        <v>#N/A</v>
      </c>
      <c r="B199" s="253" t="s">
        <v>155</v>
      </c>
      <c r="C199" s="252" t="s">
        <v>156</v>
      </c>
      <c r="D199" s="257" t="e">
        <f>VLOOKUP($F$14,'Анализ стоимости'!$A$4:$DK$59,61,0)</f>
        <v>#N/A</v>
      </c>
      <c r="J199" s="136" t="e">
        <f t="shared" si="71"/>
        <v>#N/A</v>
      </c>
    </row>
    <row r="200" spans="1:10">
      <c r="A200" s="294" t="s">
        <v>157</v>
      </c>
      <c r="B200" s="294"/>
      <c r="C200" s="294"/>
      <c r="D200" s="294"/>
      <c r="J200" s="136" t="str">
        <f>IF($F$14=0,"",1)</f>
        <v/>
      </c>
    </row>
    <row r="201" spans="1:10" ht="31.5">
      <c r="A201" s="252" t="e">
        <f>IF(D201=0,0,IF(D199=0,IF(D198=0,A195+1,A198+1),A199+1))</f>
        <v>#N/A</v>
      </c>
      <c r="B201" s="258" t="s">
        <v>206</v>
      </c>
      <c r="C201" s="252" t="s">
        <v>156</v>
      </c>
      <c r="D201" s="257" t="e">
        <f>SUM(VLOOKUP($F$14,'Анализ стоимости'!$A$4:$DK$59,46,0),D198)</f>
        <v>#N/A</v>
      </c>
      <c r="E201" s="136"/>
      <c r="J201" s="136" t="e">
        <f t="shared" ref="J201:J207" si="72">IF(D201=0,"",1)</f>
        <v>#N/A</v>
      </c>
    </row>
    <row r="202" spans="1:10">
      <c r="A202" s="252" t="e">
        <f>IF(D202=0,0,A201+1)</f>
        <v>#N/A</v>
      </c>
      <c r="B202" s="258" t="s">
        <v>159</v>
      </c>
      <c r="C202" s="252" t="s">
        <v>156</v>
      </c>
      <c r="D202" s="257" t="e">
        <f>VLOOKUP($F$14,'Анализ стоимости'!$A$4:$DK$59,56,0)</f>
        <v>#N/A</v>
      </c>
      <c r="E202" s="136"/>
      <c r="J202" s="136" t="e">
        <f t="shared" si="72"/>
        <v>#N/A</v>
      </c>
    </row>
    <row r="203" spans="1:10">
      <c r="A203" s="252" t="e">
        <f>IF(D203=0,0,A202+1)</f>
        <v>#N/A</v>
      </c>
      <c r="B203" s="258" t="s">
        <v>205</v>
      </c>
      <c r="C203" s="252" t="s">
        <v>156</v>
      </c>
      <c r="D203" s="257" t="e">
        <f>SUM(D201:D202)</f>
        <v>#N/A</v>
      </c>
      <c r="E203" s="254" t="e">
        <f>VLOOKUP($F$14,'Анализ стоимости'!$A$4:$DK$59,76,0)</f>
        <v>#N/A</v>
      </c>
      <c r="J203" s="136" t="e">
        <f t="shared" si="72"/>
        <v>#N/A</v>
      </c>
    </row>
    <row r="204" spans="1:10" ht="31.5">
      <c r="A204" s="252" t="e">
        <f>IF(D204=0,0,IF(D203=0,IF(D199=0,A195+1,A199+1),A203+1))</f>
        <v>#N/A</v>
      </c>
      <c r="B204" s="258" t="s">
        <v>204</v>
      </c>
      <c r="C204" s="252" t="s">
        <v>156</v>
      </c>
      <c r="D204" s="257" t="e">
        <f>VLOOKUP($F$14,'Анализ стоимости'!$A$4:$DK$59,41,0)-VLOOKUP($F$14,'Анализ стоимости'!$A$4:$DK$59,46,0)+D199</f>
        <v>#N/A</v>
      </c>
      <c r="J204" s="136" t="e">
        <f t="shared" si="72"/>
        <v>#N/A</v>
      </c>
    </row>
    <row r="205" spans="1:10">
      <c r="A205" s="252" t="e">
        <f>IF(D205=0,0,A204+1)</f>
        <v>#N/A</v>
      </c>
      <c r="B205" s="258" t="s">
        <v>159</v>
      </c>
      <c r="C205" s="252" t="s">
        <v>156</v>
      </c>
      <c r="D205" s="257" t="e">
        <f>VLOOKUP($F$14,'Анализ стоимости'!$A$4:$DK$59,66,0)</f>
        <v>#N/A</v>
      </c>
      <c r="J205" s="136" t="e">
        <f t="shared" si="72"/>
        <v>#N/A</v>
      </c>
    </row>
    <row r="206" spans="1:10">
      <c r="A206" s="252" t="e">
        <f>IF(D206=0,0,A205+1)</f>
        <v>#N/A</v>
      </c>
      <c r="B206" s="258" t="s">
        <v>203</v>
      </c>
      <c r="C206" s="252" t="s">
        <v>156</v>
      </c>
      <c r="D206" s="257" t="e">
        <f>SUM(D204:D205)</f>
        <v>#N/A</v>
      </c>
      <c r="E206" s="254" t="e">
        <f>VLOOKUP($F$14,'Анализ стоимости'!$A$4:$DK$59,77,0)</f>
        <v>#N/A</v>
      </c>
      <c r="J206" s="136" t="e">
        <f t="shared" si="72"/>
        <v>#N/A</v>
      </c>
    </row>
    <row r="207" spans="1:10">
      <c r="A207" s="252" t="e">
        <f>IF(D207=0,0,A206+1)</f>
        <v>#N/A</v>
      </c>
      <c r="B207" s="258" t="s">
        <v>158</v>
      </c>
      <c r="C207" s="252" t="s">
        <v>156</v>
      </c>
      <c r="D207" s="257" t="e">
        <f>IF(OR(D203=0,D206=0),0,D206+D203)</f>
        <v>#N/A</v>
      </c>
      <c r="E207" s="254" t="e">
        <f>VLOOKUP($F$14,'Анализ стоимости'!$A$4:$DK$59,67,0)</f>
        <v>#N/A</v>
      </c>
      <c r="J207" s="136" t="e">
        <f t="shared" si="72"/>
        <v>#N/A</v>
      </c>
    </row>
    <row r="208" spans="1:10">
      <c r="A208" s="262"/>
      <c r="B208" s="262"/>
      <c r="C208" s="262"/>
      <c r="D208" s="263"/>
      <c r="J208" s="136" t="str">
        <f>IF($F$14=0,"",1)</f>
        <v/>
      </c>
    </row>
    <row r="209" spans="1:10" ht="31.5" customHeight="1">
      <c r="A209" s="289" t="str">
        <f>'Анализ стоимости'!M$52</f>
        <v>Заместитель главы Вышестеблиевского сельского поселения Темрюкского района</v>
      </c>
      <c r="B209" s="290"/>
      <c r="C209" s="264"/>
      <c r="D209" s="265" t="str">
        <f>CONCATENATE("_____________________ ",'Анализ стоимости'!M$53)</f>
        <v>_____________________ Н.Д.Шевченко</v>
      </c>
      <c r="G209" s="267" t="str">
        <f>A209</f>
        <v>Заместитель главы Вышестеблиевского сельского поселения Темрюкского района</v>
      </c>
      <c r="J209" s="136" t="str">
        <f>IF($F$12=0,"",1)</f>
        <v/>
      </c>
    </row>
    <row r="210" spans="1:10" s="237" customFormat="1" ht="5.25">
      <c r="A210" s="269"/>
      <c r="B210" s="269"/>
      <c r="C210" s="269"/>
      <c r="D210" s="270"/>
      <c r="G210" s="238"/>
      <c r="H210" s="238"/>
      <c r="I210" s="273"/>
      <c r="J210" s="277" t="str">
        <f>IF($F$12=0,"",1)</f>
        <v/>
      </c>
    </row>
    <row r="211" spans="1:10">
      <c r="A211" s="291">
        <f ca="1">TODAY()</f>
        <v>41941</v>
      </c>
      <c r="B211" s="291"/>
      <c r="C211" s="224"/>
      <c r="D211" s="224"/>
      <c r="J211" s="136" t="str">
        <f>IF($F$14=0,"",1)</f>
        <v/>
      </c>
    </row>
    <row r="212" spans="1:10">
      <c r="A212" s="295" t="s">
        <v>175</v>
      </c>
      <c r="B212" s="295"/>
      <c r="C212" s="295"/>
      <c r="D212" s="295"/>
      <c r="G212" s="226"/>
      <c r="H212" s="226"/>
      <c r="J212" s="136" t="str">
        <f t="shared" ref="J212:J229" si="73">IF($F$15=0,"",1)</f>
        <v/>
      </c>
    </row>
    <row r="213" spans="1:10">
      <c r="A213" s="296" t="e">
        <f>CONCATENATE("Наименование объекта: ",VLOOKUP($F$15,'Анализ стоимости'!$A$4:$DK$59,11+2,0))</f>
        <v>#N/A</v>
      </c>
      <c r="B213" s="296"/>
      <c r="C213" s="296"/>
      <c r="D213" s="296"/>
      <c r="I213" s="276" t="e">
        <f>A213</f>
        <v>#N/A</v>
      </c>
      <c r="J213" s="136" t="str">
        <f t="shared" si="73"/>
        <v/>
      </c>
    </row>
    <row r="214" spans="1:10" s="237" customFormat="1" ht="5.25">
      <c r="A214" s="246"/>
      <c r="B214" s="235"/>
      <c r="C214" s="235"/>
      <c r="D214" s="235"/>
      <c r="G214" s="238"/>
      <c r="H214" s="238"/>
      <c r="I214" s="273"/>
      <c r="J214" s="277" t="str">
        <f t="shared" si="73"/>
        <v/>
      </c>
    </row>
    <row r="215" spans="1:10">
      <c r="A215" s="248" t="s">
        <v>149</v>
      </c>
      <c r="B215" s="241"/>
      <c r="C215" s="241"/>
      <c r="D215" s="241"/>
      <c r="J215" s="136" t="str">
        <f t="shared" si="73"/>
        <v/>
      </c>
    </row>
    <row r="216" spans="1:10">
      <c r="A216" s="297" t="s">
        <v>150</v>
      </c>
      <c r="B216" s="297"/>
      <c r="C216" s="297"/>
      <c r="D216" s="297"/>
      <c r="J216" s="136" t="str">
        <f t="shared" si="73"/>
        <v/>
      </c>
    </row>
    <row r="217" spans="1:10" ht="47.25" customHeight="1">
      <c r="A217" s="249" t="s">
        <v>53</v>
      </c>
      <c r="B217" s="249" t="s">
        <v>87</v>
      </c>
      <c r="C217" s="298" t="e">
        <f>CONCATENATE("Стоимость  согласно сметной документации (руб.) в текущих ценах по состоянию на ",VLOOKUP($F$15,'Анализ стоимости'!$A$4:$BY$59,6+2,0)," г.")</f>
        <v>#N/A</v>
      </c>
      <c r="D217" s="299"/>
      <c r="H217" s="250" t="e">
        <f>C217</f>
        <v>#N/A</v>
      </c>
      <c r="J217" s="136" t="str">
        <f t="shared" si="73"/>
        <v/>
      </c>
    </row>
    <row r="218" spans="1:10">
      <c r="A218" s="252">
        <v>1</v>
      </c>
      <c r="B218" s="253" t="s">
        <v>28</v>
      </c>
      <c r="C218" s="292" t="e">
        <f>VLOOKUP($F$15,'Анализ стоимости'!$A$4:$BY$59,12+2,0)</f>
        <v>#N/A</v>
      </c>
      <c r="D218" s="293"/>
      <c r="J218" s="136" t="str">
        <f t="shared" si="73"/>
        <v/>
      </c>
    </row>
    <row r="219" spans="1:10">
      <c r="A219" s="252">
        <v>2</v>
      </c>
      <c r="B219" s="253" t="s">
        <v>23</v>
      </c>
      <c r="C219" s="292" t="e">
        <f>VLOOKUP($F$15,'Анализ стоимости'!$A$4:$DK$59,13+2,0)</f>
        <v>#N/A</v>
      </c>
      <c r="D219" s="293"/>
      <c r="J219" s="136" t="str">
        <f t="shared" si="73"/>
        <v/>
      </c>
    </row>
    <row r="220" spans="1:10" ht="31.5">
      <c r="A220" s="252">
        <v>3</v>
      </c>
      <c r="B220" s="253" t="s">
        <v>2</v>
      </c>
      <c r="C220" s="292" t="e">
        <f>VLOOKUP($F$15,'Анализ стоимости'!$A$4:$DK$59,14+2,0)</f>
        <v>#N/A</v>
      </c>
      <c r="D220" s="293"/>
      <c r="J220" s="136" t="str">
        <f t="shared" si="73"/>
        <v/>
      </c>
    </row>
    <row r="221" spans="1:10">
      <c r="A221" s="252">
        <v>4</v>
      </c>
      <c r="B221" s="253" t="s">
        <v>24</v>
      </c>
      <c r="C221" s="292" t="e">
        <f>VLOOKUP($F$15,'Анализ стоимости'!$A$4:$DK$59,15+2,0)</f>
        <v>#N/A</v>
      </c>
      <c r="D221" s="293"/>
      <c r="J221" s="136" t="str">
        <f t="shared" si="73"/>
        <v/>
      </c>
    </row>
    <row r="222" spans="1:10">
      <c r="A222" s="252">
        <v>5</v>
      </c>
      <c r="B222" s="253" t="s">
        <v>5</v>
      </c>
      <c r="C222" s="292" t="e">
        <f>VLOOKUP($F$15,'Анализ стоимости'!$A$4:$DK$59,16+2,0)</f>
        <v>#N/A</v>
      </c>
      <c r="D222" s="293"/>
      <c r="J222" s="136" t="str">
        <f t="shared" si="73"/>
        <v/>
      </c>
    </row>
    <row r="223" spans="1:10">
      <c r="A223" s="252">
        <v>6</v>
      </c>
      <c r="B223" s="253" t="s">
        <v>10</v>
      </c>
      <c r="C223" s="292" t="e">
        <f>VLOOKUP($F$15,'Анализ стоимости'!$A$4:$DK$59,20+2,0)</f>
        <v>#N/A</v>
      </c>
      <c r="D223" s="293"/>
      <c r="J223" s="136" t="str">
        <f t="shared" si="73"/>
        <v/>
      </c>
    </row>
    <row r="224" spans="1:10">
      <c r="A224" s="252">
        <v>7</v>
      </c>
      <c r="B224" s="253" t="s">
        <v>79</v>
      </c>
      <c r="C224" s="292" t="e">
        <f>VLOOKUP($F$15,'Анализ стоимости'!$A$4:$DK$59,21+2,0)+VLOOKUP($F$15,'Анализ стоимости'!$A$4:$DK$59,23+2,0)+VLOOKUP($F$15,'Анализ стоимости'!$A$4:$DK$59,24+2,0)+VLOOKUP($F$15,'Анализ стоимости'!$A$4:$DK$59,25+2,0)+VLOOKUP($F$15,'Анализ стоимости'!$A$4:$DK$59,26+2,0)+VLOOKUP($F$15,'Анализ стоимости'!$A$4:$DK$59,27+2,0)+VLOOKUP($F$15,'Анализ стоимости'!$A$4:$DK$59,28+2,0)+VLOOKUP($F$15,'Анализ стоимости'!$A$4:$DK$59,29+2,0)</f>
        <v>#N/A</v>
      </c>
      <c r="D224" s="293"/>
      <c r="J224" s="136" t="str">
        <f t="shared" si="73"/>
        <v/>
      </c>
    </row>
    <row r="225" spans="1:10">
      <c r="A225" s="252">
        <v>8</v>
      </c>
      <c r="B225" s="253" t="s">
        <v>46</v>
      </c>
      <c r="C225" s="292" t="e">
        <f>VLOOKUP($F$15,'Анализ стоимости'!$A$4:$DK$59,34+2,0)</f>
        <v>#N/A</v>
      </c>
      <c r="D225" s="293"/>
      <c r="J225" s="136" t="str">
        <f t="shared" si="73"/>
        <v/>
      </c>
    </row>
    <row r="226" spans="1:10">
      <c r="A226" s="252">
        <v>9</v>
      </c>
      <c r="B226" s="253" t="s">
        <v>169</v>
      </c>
      <c r="C226" s="292" t="e">
        <f>SUM(C218:D225)</f>
        <v>#N/A</v>
      </c>
      <c r="D226" s="293"/>
      <c r="J226" s="136" t="str">
        <f t="shared" si="73"/>
        <v/>
      </c>
    </row>
    <row r="227" spans="1:10">
      <c r="A227" s="294" t="s">
        <v>161</v>
      </c>
      <c r="B227" s="294"/>
      <c r="C227" s="294"/>
      <c r="D227" s="294"/>
      <c r="J227" s="136" t="str">
        <f t="shared" si="73"/>
        <v/>
      </c>
    </row>
    <row r="228" spans="1:10" ht="31.5">
      <c r="A228" s="255" t="s">
        <v>53</v>
      </c>
      <c r="B228" s="249" t="s">
        <v>15</v>
      </c>
      <c r="C228" s="249" t="s">
        <v>152</v>
      </c>
      <c r="D228" s="249" t="s">
        <v>88</v>
      </c>
      <c r="J228" s="136" t="str">
        <f t="shared" si="73"/>
        <v/>
      </c>
    </row>
    <row r="229" spans="1:10">
      <c r="A229" s="252">
        <v>10</v>
      </c>
      <c r="B229" s="252" t="e">
        <f>VLOOKUP((VLOOKUP($F$15,'Анализ стоимости'!$A$4:$BY$59,12,0)),'Расчет инфляции'!$BD$5:$BE$22,2,0)</f>
        <v>#N/A</v>
      </c>
      <c r="C229" s="252"/>
      <c r="D229" s="253"/>
      <c r="J229" s="136" t="str">
        <f t="shared" si="73"/>
        <v/>
      </c>
    </row>
    <row r="230" spans="1:10">
      <c r="A230" s="252" t="e">
        <f>IF(D230=0,0,A229+1)</f>
        <v>#N/A</v>
      </c>
      <c r="B230" s="253" t="e">
        <f>CONCATENATE("2014 г. (",CHOOSE(VLOOKUP(F$15,'Анализ стоимости'!$A$4:$DK$90,68,0),"Январь","Февраль","Март","Апрель","Май","Июнь","Июль","Август","Сентябрь","Октябрь","Ноябрь","Декабрь")," - ",CHOOSE(VLOOKUP(F$15,'Анализ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230" s="252" t="s">
        <v>153</v>
      </c>
      <c r="D230" s="278" t="e">
        <f>IF(D232=0,0,VLOOKUP($F$15,'Анализ стоимости'!$A$4:$DK$59,74,0)*100+100)</f>
        <v>#N/A</v>
      </c>
      <c r="J230" s="136" t="e">
        <f>IF(D230=0,"",1)</f>
        <v>#N/A</v>
      </c>
    </row>
    <row r="231" spans="1:10">
      <c r="A231" s="252" t="e">
        <f>IF(D231=0,0,IF(D230=0,A229+1,A230+1))</f>
        <v>#N/A</v>
      </c>
      <c r="B231" s="253" t="e">
        <f>CONCATENATE("2015 г. (",CHOOSE(VLOOKUP(F$15,'Анализ стоимости'!$A$4:$DK$90,70,0),"Январь","Февраль","Март","Апрель","Май","Июнь","Июль","Август","Сентябрь","Октябрь","Ноябрь","Декабрь")," - ",CHOOSE(VLOOKUP(F$15,'Анализ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231" s="252" t="s">
        <v>153</v>
      </c>
      <c r="D231" s="278" t="e">
        <f>IF(D233=0,0,VLOOKUP($F$15,'Анализ стоимости'!$A$4:$DK$59,75,0)*100+100)</f>
        <v>#N/A</v>
      </c>
      <c r="J231" s="136" t="e">
        <f t="shared" ref="J231:J233" si="74">IF(D231=0,"",1)</f>
        <v>#N/A</v>
      </c>
    </row>
    <row r="232" spans="1:10">
      <c r="A232" s="252" t="e">
        <f>IF(D232=0,0,IF(D231=0,A230+1,A231+1))</f>
        <v>#N/A</v>
      </c>
      <c r="B232" s="253" t="s">
        <v>154</v>
      </c>
      <c r="C232" s="252" t="s">
        <v>156</v>
      </c>
      <c r="D232" s="257" t="e">
        <f>VLOOKUP($F$15,'Анализ стоимости'!$A$4:$DK$59,51,0)</f>
        <v>#N/A</v>
      </c>
      <c r="J232" s="136" t="e">
        <f t="shared" si="74"/>
        <v>#N/A</v>
      </c>
    </row>
    <row r="233" spans="1:10">
      <c r="A233" s="252" t="e">
        <f>IF(D233=0,0,IF(D232=0,A231+1,A232+1))</f>
        <v>#N/A</v>
      </c>
      <c r="B233" s="253" t="s">
        <v>155</v>
      </c>
      <c r="C233" s="252" t="s">
        <v>156</v>
      </c>
      <c r="D233" s="257" t="e">
        <f>VLOOKUP($F$15,'Анализ стоимости'!$A$4:$DK$59,61,0)</f>
        <v>#N/A</v>
      </c>
      <c r="J233" s="136" t="e">
        <f t="shared" si="74"/>
        <v>#N/A</v>
      </c>
    </row>
    <row r="234" spans="1:10">
      <c r="A234" s="294" t="s">
        <v>157</v>
      </c>
      <c r="B234" s="294"/>
      <c r="C234" s="294"/>
      <c r="D234" s="294"/>
      <c r="J234" s="136" t="str">
        <f>IF($F$15=0,"",1)</f>
        <v/>
      </c>
    </row>
    <row r="235" spans="1:10" ht="31.5">
      <c r="A235" s="252" t="e">
        <f>IF(D235=0,0,IF(D233=0,IF(D232=0,A229+1,A232+1),A233+1))</f>
        <v>#N/A</v>
      </c>
      <c r="B235" s="258" t="s">
        <v>206</v>
      </c>
      <c r="C235" s="252" t="s">
        <v>156</v>
      </c>
      <c r="D235" s="257" t="e">
        <f>SUM(VLOOKUP($F$15,'Анализ стоимости'!$A$4:$DK$59,46,0),D232)</f>
        <v>#N/A</v>
      </c>
      <c r="E235" s="136"/>
      <c r="J235" s="136" t="e">
        <f t="shared" ref="J235:J241" si="75">IF(D235=0,"",1)</f>
        <v>#N/A</v>
      </c>
    </row>
    <row r="236" spans="1:10">
      <c r="A236" s="252" t="e">
        <f>IF(D236=0,0,A235+1)</f>
        <v>#N/A</v>
      </c>
      <c r="B236" s="258" t="s">
        <v>159</v>
      </c>
      <c r="C236" s="252" t="s">
        <v>156</v>
      </c>
      <c r="D236" s="257" t="e">
        <f>VLOOKUP($F$15,'Анализ стоимости'!$A$4:$DK$59,56,0)</f>
        <v>#N/A</v>
      </c>
      <c r="E236" s="136"/>
      <c r="J236" s="136" t="e">
        <f t="shared" si="75"/>
        <v>#N/A</v>
      </c>
    </row>
    <row r="237" spans="1:10">
      <c r="A237" s="252" t="e">
        <f>IF(D237=0,0,A236+1)</f>
        <v>#N/A</v>
      </c>
      <c r="B237" s="258" t="s">
        <v>205</v>
      </c>
      <c r="C237" s="252" t="s">
        <v>156</v>
      </c>
      <c r="D237" s="257" t="e">
        <f>SUM(D235:D236)</f>
        <v>#N/A</v>
      </c>
      <c r="E237" s="254" t="e">
        <f>VLOOKUP($F$15,'Анализ стоимости'!$A$4:$DK$59,76,0)</f>
        <v>#N/A</v>
      </c>
      <c r="J237" s="136" t="e">
        <f t="shared" si="75"/>
        <v>#N/A</v>
      </c>
    </row>
    <row r="238" spans="1:10" ht="31.5">
      <c r="A238" s="252" t="e">
        <f>IF(D238=0,0,IF(D237=0,IF(D233=0,A229+1,A233+1),A237+1))</f>
        <v>#N/A</v>
      </c>
      <c r="B238" s="258" t="s">
        <v>204</v>
      </c>
      <c r="C238" s="252" t="s">
        <v>156</v>
      </c>
      <c r="D238" s="257" t="e">
        <f>VLOOKUP($F$15,'Анализ стоимости'!$A$4:$DK$59,41,0)-VLOOKUP($F$15,'Анализ стоимости'!$A$4:$DK$59,46,0)+D233</f>
        <v>#N/A</v>
      </c>
      <c r="J238" s="136" t="e">
        <f t="shared" si="75"/>
        <v>#N/A</v>
      </c>
    </row>
    <row r="239" spans="1:10">
      <c r="A239" s="252" t="e">
        <f>IF(D239=0,0,A238+1)</f>
        <v>#N/A</v>
      </c>
      <c r="B239" s="258" t="s">
        <v>159</v>
      </c>
      <c r="C239" s="252" t="s">
        <v>156</v>
      </c>
      <c r="D239" s="257" t="e">
        <f>VLOOKUP($F$15,'Анализ стоимости'!$A$4:$DK$59,66,0)</f>
        <v>#N/A</v>
      </c>
      <c r="J239" s="136" t="e">
        <f t="shared" si="75"/>
        <v>#N/A</v>
      </c>
    </row>
    <row r="240" spans="1:10">
      <c r="A240" s="252" t="e">
        <f>IF(D240=0,0,A239+1)</f>
        <v>#N/A</v>
      </c>
      <c r="B240" s="258" t="s">
        <v>203</v>
      </c>
      <c r="C240" s="252" t="s">
        <v>156</v>
      </c>
      <c r="D240" s="257" t="e">
        <f>SUM(D238:D239)</f>
        <v>#N/A</v>
      </c>
      <c r="E240" s="254" t="e">
        <f>VLOOKUP($F$15,'Анализ стоимости'!$A$4:$DK$59,77,0)</f>
        <v>#N/A</v>
      </c>
      <c r="J240" s="136" t="e">
        <f t="shared" si="75"/>
        <v>#N/A</v>
      </c>
    </row>
    <row r="241" spans="1:10">
      <c r="A241" s="252" t="e">
        <f>IF(D241=0,0,A240+1)</f>
        <v>#N/A</v>
      </c>
      <c r="B241" s="258" t="s">
        <v>158</v>
      </c>
      <c r="C241" s="252" t="s">
        <v>156</v>
      </c>
      <c r="D241" s="257" t="e">
        <f>IF(OR(D237=0,D240=0),0,D240+D237)</f>
        <v>#N/A</v>
      </c>
      <c r="E241" s="254" t="e">
        <f>VLOOKUP($F$15,'Анализ стоимости'!$A$4:$DK$59,67,0)</f>
        <v>#N/A</v>
      </c>
      <c r="J241" s="136" t="e">
        <f t="shared" si="75"/>
        <v>#N/A</v>
      </c>
    </row>
    <row r="242" spans="1:10">
      <c r="A242" s="262"/>
      <c r="B242" s="262"/>
      <c r="C242" s="262"/>
      <c r="D242" s="263"/>
      <c r="J242" s="136" t="str">
        <f>IF($F$15=0,"",1)</f>
        <v/>
      </c>
    </row>
    <row r="243" spans="1:10" ht="31.5" customHeight="1">
      <c r="A243" s="289" t="str">
        <f>'Анализ стоимости'!M$52</f>
        <v>Заместитель главы Вышестеблиевского сельского поселения Темрюкского района</v>
      </c>
      <c r="B243" s="290"/>
      <c r="C243" s="264"/>
      <c r="D243" s="265" t="str">
        <f>CONCATENATE("_____________________ ",'Анализ стоимости'!M$53)</f>
        <v>_____________________ Н.Д.Шевченко</v>
      </c>
      <c r="G243" s="267" t="str">
        <f>A243</f>
        <v>Заместитель главы Вышестеблиевского сельского поселения Темрюкского района</v>
      </c>
      <c r="J243" s="136" t="str">
        <f>IF($F$12=0,"",1)</f>
        <v/>
      </c>
    </row>
    <row r="244" spans="1:10" s="237" customFormat="1" ht="5.25">
      <c r="A244" s="269"/>
      <c r="B244" s="269"/>
      <c r="C244" s="269"/>
      <c r="D244" s="270"/>
      <c r="G244" s="238"/>
      <c r="H244" s="238"/>
      <c r="I244" s="273"/>
      <c r="J244" s="277" t="str">
        <f>IF($F$12=0,"",1)</f>
        <v/>
      </c>
    </row>
    <row r="245" spans="1:10">
      <c r="A245" s="291">
        <f ca="1">TODAY()</f>
        <v>41941</v>
      </c>
      <c r="B245" s="291"/>
      <c r="C245" s="224"/>
      <c r="D245" s="224"/>
      <c r="J245" s="136" t="str">
        <f>IF($F$15=0,"",1)</f>
        <v/>
      </c>
    </row>
    <row r="246" spans="1:10">
      <c r="A246" s="295" t="s">
        <v>176</v>
      </c>
      <c r="B246" s="295"/>
      <c r="C246" s="295"/>
      <c r="D246" s="295"/>
      <c r="G246" s="226"/>
      <c r="H246" s="226"/>
      <c r="J246" s="136" t="str">
        <f t="shared" ref="J246:J263" si="76">IF($F$16=0,"",1)</f>
        <v/>
      </c>
    </row>
    <row r="247" spans="1:10">
      <c r="A247" s="296" t="e">
        <f>CONCATENATE("Наименование объекта: ",VLOOKUP($F$16,'Анализ стоимости'!$A$4:$DK$59,11+2,0))</f>
        <v>#N/A</v>
      </c>
      <c r="B247" s="296"/>
      <c r="C247" s="296"/>
      <c r="D247" s="296"/>
      <c r="I247" s="276" t="e">
        <f>A247</f>
        <v>#N/A</v>
      </c>
      <c r="J247" s="136" t="str">
        <f t="shared" si="76"/>
        <v/>
      </c>
    </row>
    <row r="248" spans="1:10" s="237" customFormat="1" ht="5.25">
      <c r="A248" s="246"/>
      <c r="B248" s="235"/>
      <c r="C248" s="235"/>
      <c r="D248" s="235"/>
      <c r="G248" s="238"/>
      <c r="H248" s="238"/>
      <c r="I248" s="273"/>
      <c r="J248" s="277" t="str">
        <f t="shared" si="76"/>
        <v/>
      </c>
    </row>
    <row r="249" spans="1:10">
      <c r="A249" s="248" t="s">
        <v>149</v>
      </c>
      <c r="B249" s="241"/>
      <c r="C249" s="241"/>
      <c r="D249" s="241"/>
      <c r="J249" s="136" t="str">
        <f t="shared" si="76"/>
        <v/>
      </c>
    </row>
    <row r="250" spans="1:10">
      <c r="A250" s="297" t="s">
        <v>150</v>
      </c>
      <c r="B250" s="297"/>
      <c r="C250" s="297"/>
      <c r="D250" s="297"/>
      <c r="J250" s="136" t="str">
        <f t="shared" si="76"/>
        <v/>
      </c>
    </row>
    <row r="251" spans="1:10" ht="47.25" customHeight="1">
      <c r="A251" s="249" t="s">
        <v>53</v>
      </c>
      <c r="B251" s="249" t="s">
        <v>87</v>
      </c>
      <c r="C251" s="298" t="e">
        <f>CONCATENATE("Стоимость  согласно сметной документации (руб.) в текущих ценах по состоянию на ",VLOOKUP($F$16,'Анализ стоимости'!$A$4:$BY$59,6+2,0)," г.")</f>
        <v>#N/A</v>
      </c>
      <c r="D251" s="299"/>
      <c r="H251" s="250" t="e">
        <f>C251</f>
        <v>#N/A</v>
      </c>
      <c r="J251" s="136" t="str">
        <f t="shared" si="76"/>
        <v/>
      </c>
    </row>
    <row r="252" spans="1:10">
      <c r="A252" s="252">
        <v>1</v>
      </c>
      <c r="B252" s="253" t="s">
        <v>28</v>
      </c>
      <c r="C252" s="292" t="e">
        <f>VLOOKUP($F$16,'Анализ стоимости'!$A$4:$BY$59,12+2,0)</f>
        <v>#N/A</v>
      </c>
      <c r="D252" s="293"/>
      <c r="J252" s="136" t="str">
        <f t="shared" si="76"/>
        <v/>
      </c>
    </row>
    <row r="253" spans="1:10">
      <c r="A253" s="252">
        <v>2</v>
      </c>
      <c r="B253" s="253" t="s">
        <v>23</v>
      </c>
      <c r="C253" s="292" t="e">
        <f>VLOOKUP($F$16,'Анализ стоимости'!$A$4:$DK$59,13+2,0)</f>
        <v>#N/A</v>
      </c>
      <c r="D253" s="293"/>
      <c r="J253" s="136" t="str">
        <f t="shared" si="76"/>
        <v/>
      </c>
    </row>
    <row r="254" spans="1:10" ht="31.5">
      <c r="A254" s="252">
        <v>3</v>
      </c>
      <c r="B254" s="253" t="s">
        <v>2</v>
      </c>
      <c r="C254" s="292" t="e">
        <f>VLOOKUP($F$16,'Анализ стоимости'!$A$4:$DK$59,14+2,0)</f>
        <v>#N/A</v>
      </c>
      <c r="D254" s="293"/>
      <c r="J254" s="136" t="str">
        <f t="shared" si="76"/>
        <v/>
      </c>
    </row>
    <row r="255" spans="1:10">
      <c r="A255" s="252">
        <v>4</v>
      </c>
      <c r="B255" s="253" t="s">
        <v>24</v>
      </c>
      <c r="C255" s="292" t="e">
        <f>VLOOKUP($F$16,'Анализ стоимости'!$A$4:$DK$59,15+2,0)</f>
        <v>#N/A</v>
      </c>
      <c r="D255" s="293"/>
      <c r="J255" s="136" t="str">
        <f t="shared" si="76"/>
        <v/>
      </c>
    </row>
    <row r="256" spans="1:10">
      <c r="A256" s="252">
        <v>5</v>
      </c>
      <c r="B256" s="253" t="s">
        <v>5</v>
      </c>
      <c r="C256" s="292" t="e">
        <f>VLOOKUP($F$16,'Анализ стоимости'!$A$4:$DK$59,16+2,0)</f>
        <v>#N/A</v>
      </c>
      <c r="D256" s="293"/>
      <c r="J256" s="136" t="str">
        <f t="shared" si="76"/>
        <v/>
      </c>
    </row>
    <row r="257" spans="1:10">
      <c r="A257" s="252">
        <v>6</v>
      </c>
      <c r="B257" s="253" t="s">
        <v>10</v>
      </c>
      <c r="C257" s="292" t="e">
        <f>VLOOKUP($F$16,'Анализ стоимости'!$A$4:$DK$59,20+2,0)</f>
        <v>#N/A</v>
      </c>
      <c r="D257" s="293"/>
      <c r="J257" s="136" t="str">
        <f t="shared" si="76"/>
        <v/>
      </c>
    </row>
    <row r="258" spans="1:10">
      <c r="A258" s="252">
        <v>7</v>
      </c>
      <c r="B258" s="253" t="s">
        <v>79</v>
      </c>
      <c r="C258" s="292" t="e">
        <f>VLOOKUP($F$16,'Анализ стоимости'!$A$4:$DK$59,21+2,0)+VLOOKUP($F$16,'Анализ стоимости'!$A$4:$DK$59,23+2,0)+VLOOKUP($F$16,'Анализ стоимости'!$A$4:$DK$59,24+2,0)+VLOOKUP($F$16,'Анализ стоимости'!$A$4:$DK$59,25+2,0)+VLOOKUP($F$16,'Анализ стоимости'!$A$4:$DK$59,26+2,0)+VLOOKUP($F$16,'Анализ стоимости'!$A$4:$DK$59,27+2,0)+VLOOKUP($F$16,'Анализ стоимости'!$A$4:$DK$59,28+2,0)+VLOOKUP($F$16,'Анализ стоимости'!$A$4:$DK$59,29+2,0)</f>
        <v>#N/A</v>
      </c>
      <c r="D258" s="293"/>
      <c r="J258" s="136" t="str">
        <f t="shared" si="76"/>
        <v/>
      </c>
    </row>
    <row r="259" spans="1:10">
      <c r="A259" s="252">
        <v>8</v>
      </c>
      <c r="B259" s="253" t="s">
        <v>46</v>
      </c>
      <c r="C259" s="292" t="e">
        <f>VLOOKUP($F$16,'Анализ стоимости'!$A$4:$DK$59,34+2,0)</f>
        <v>#N/A</v>
      </c>
      <c r="D259" s="293"/>
      <c r="J259" s="136" t="str">
        <f t="shared" si="76"/>
        <v/>
      </c>
    </row>
    <row r="260" spans="1:10">
      <c r="A260" s="252">
        <v>9</v>
      </c>
      <c r="B260" s="253" t="s">
        <v>169</v>
      </c>
      <c r="C260" s="292" t="e">
        <f>SUM(C252:D259)</f>
        <v>#N/A</v>
      </c>
      <c r="D260" s="293"/>
      <c r="J260" s="136" t="str">
        <f t="shared" si="76"/>
        <v/>
      </c>
    </row>
    <row r="261" spans="1:10">
      <c r="A261" s="294" t="s">
        <v>161</v>
      </c>
      <c r="B261" s="294"/>
      <c r="C261" s="294"/>
      <c r="D261" s="294"/>
      <c r="J261" s="136" t="str">
        <f t="shared" si="76"/>
        <v/>
      </c>
    </row>
    <row r="262" spans="1:10" ht="31.5">
      <c r="A262" s="255" t="s">
        <v>53</v>
      </c>
      <c r="B262" s="249" t="s">
        <v>15</v>
      </c>
      <c r="C262" s="249" t="s">
        <v>152</v>
      </c>
      <c r="D262" s="249" t="s">
        <v>88</v>
      </c>
      <c r="J262" s="136" t="str">
        <f t="shared" si="76"/>
        <v/>
      </c>
    </row>
    <row r="263" spans="1:10">
      <c r="A263" s="252">
        <v>10</v>
      </c>
      <c r="B263" s="252" t="e">
        <f>VLOOKUP((VLOOKUP($F$16,'Анализ стоимости'!$A$4:$BY$59,12,0)),'Расчет инфляции'!$BD$5:$BE$22,2,0)</f>
        <v>#N/A</v>
      </c>
      <c r="C263" s="252"/>
      <c r="D263" s="253"/>
      <c r="J263" s="136" t="str">
        <f t="shared" si="76"/>
        <v/>
      </c>
    </row>
    <row r="264" spans="1:10">
      <c r="A264" s="252" t="e">
        <f>IF(D264=0,0,A263+1)</f>
        <v>#N/A</v>
      </c>
      <c r="B264" s="253" t="e">
        <f>CONCATENATE("2014 г. (",CHOOSE(VLOOKUP(F$16,'Анализ стоимости'!$A$4:$DK$90,68,0),"Январь","Февраль","Март","Апрель","Май","Июнь","Июль","Август","Сентябрь","Октябрь","Ноябрь","Декабрь")," - ",CHOOSE(VLOOKUP(F$16,'Анализ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264" s="252" t="s">
        <v>153</v>
      </c>
      <c r="D264" s="278" t="e">
        <f>IF(D266=0,0,VLOOKUP($F$16,'Анализ стоимости'!$A$4:$DK$59,74,0)*100+100)</f>
        <v>#N/A</v>
      </c>
      <c r="J264" s="136" t="e">
        <f>IF(D264=0,"",1)</f>
        <v>#N/A</v>
      </c>
    </row>
    <row r="265" spans="1:10">
      <c r="A265" s="252" t="e">
        <f>IF(D265=0,0,IF(D264=0,A263+1,A264+1))</f>
        <v>#N/A</v>
      </c>
      <c r="B265" s="253" t="e">
        <f>CONCATENATE("2015 г. (",CHOOSE(VLOOKUP(F$16,'Анализ стоимости'!$A$4:$DK$90,70,0),"Январь","Февраль","Март","Апрель","Май","Июнь","Июль","Август","Сентябрь","Октябрь","Ноябрь","Декабрь")," - ",CHOOSE(VLOOKUP(F$16,'Анализ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265" s="252" t="s">
        <v>153</v>
      </c>
      <c r="D265" s="278" t="e">
        <f>IF(D267=0,0,VLOOKUP($F$16,'Анализ стоимости'!$A$4:$DK$59,75,0)*100+100)</f>
        <v>#N/A</v>
      </c>
      <c r="J265" s="136" t="e">
        <f t="shared" ref="J265:J267" si="77">IF(D265=0,"",1)</f>
        <v>#N/A</v>
      </c>
    </row>
    <row r="266" spans="1:10">
      <c r="A266" s="252" t="e">
        <f>IF(D266=0,0,IF(D265=0,A264+1,A265+1))</f>
        <v>#N/A</v>
      </c>
      <c r="B266" s="253" t="s">
        <v>154</v>
      </c>
      <c r="C266" s="252" t="s">
        <v>156</v>
      </c>
      <c r="D266" s="257" t="e">
        <f>VLOOKUP($F$16,'Анализ стоимости'!$A$4:$DK$59,51,0)</f>
        <v>#N/A</v>
      </c>
      <c r="J266" s="136" t="e">
        <f t="shared" si="77"/>
        <v>#N/A</v>
      </c>
    </row>
    <row r="267" spans="1:10">
      <c r="A267" s="252" t="e">
        <f>IF(D267=0,0,IF(D266=0,A265+1,A266+1))</f>
        <v>#N/A</v>
      </c>
      <c r="B267" s="253" t="s">
        <v>155</v>
      </c>
      <c r="C267" s="252" t="s">
        <v>156</v>
      </c>
      <c r="D267" s="257" t="e">
        <f>VLOOKUP($F$16,'Анализ стоимости'!$A$4:$DK$59,61,0)</f>
        <v>#N/A</v>
      </c>
      <c r="J267" s="136" t="e">
        <f t="shared" si="77"/>
        <v>#N/A</v>
      </c>
    </row>
    <row r="268" spans="1:10">
      <c r="A268" s="294" t="s">
        <v>157</v>
      </c>
      <c r="B268" s="294"/>
      <c r="C268" s="294"/>
      <c r="D268" s="294"/>
      <c r="J268" s="136" t="str">
        <f>IF($F$16=0,"",1)</f>
        <v/>
      </c>
    </row>
    <row r="269" spans="1:10" ht="31.5">
      <c r="A269" s="252" t="e">
        <f>IF(D269=0,0,IF(D267=0,IF(D266=0,A263+1,A266+1),A267+1))</f>
        <v>#N/A</v>
      </c>
      <c r="B269" s="258" t="s">
        <v>206</v>
      </c>
      <c r="C269" s="252" t="s">
        <v>156</v>
      </c>
      <c r="D269" s="257" t="e">
        <f>SUM(VLOOKUP($F$16,'Анализ стоимости'!$A$4:$DK$59,46,0),D266)</f>
        <v>#N/A</v>
      </c>
      <c r="E269" s="136"/>
      <c r="J269" s="136" t="e">
        <f t="shared" ref="J269:J275" si="78">IF(D269=0,"",1)</f>
        <v>#N/A</v>
      </c>
    </row>
    <row r="270" spans="1:10">
      <c r="A270" s="252" t="e">
        <f>IF(D270=0,0,A269+1)</f>
        <v>#N/A</v>
      </c>
      <c r="B270" s="258" t="s">
        <v>159</v>
      </c>
      <c r="C270" s="252" t="s">
        <v>156</v>
      </c>
      <c r="D270" s="257" t="e">
        <f>VLOOKUP($F$16,'Анализ стоимости'!$A$4:$DK$59,56,0)</f>
        <v>#N/A</v>
      </c>
      <c r="E270" s="136"/>
      <c r="J270" s="136" t="e">
        <f t="shared" si="78"/>
        <v>#N/A</v>
      </c>
    </row>
    <row r="271" spans="1:10">
      <c r="A271" s="252" t="e">
        <f>IF(D271=0,0,A270+1)</f>
        <v>#N/A</v>
      </c>
      <c r="B271" s="258" t="s">
        <v>205</v>
      </c>
      <c r="C271" s="252" t="s">
        <v>156</v>
      </c>
      <c r="D271" s="257" t="e">
        <f>SUM(D269:D270)</f>
        <v>#N/A</v>
      </c>
      <c r="E271" s="254" t="e">
        <f>VLOOKUP($F$16,'Анализ стоимости'!$A$4:$DK$59,76,0)</f>
        <v>#N/A</v>
      </c>
      <c r="J271" s="136" t="e">
        <f t="shared" si="78"/>
        <v>#N/A</v>
      </c>
    </row>
    <row r="272" spans="1:10" ht="31.5">
      <c r="A272" s="252" t="e">
        <f>IF(D272=0,0,IF(D271=0,IF(D267=0,A263+1,A267+1),A271+1))</f>
        <v>#N/A</v>
      </c>
      <c r="B272" s="258" t="s">
        <v>204</v>
      </c>
      <c r="C272" s="252" t="s">
        <v>156</v>
      </c>
      <c r="D272" s="257" t="e">
        <f>VLOOKUP($F$16,'Анализ стоимости'!$A$4:$DK$59,41,0)-VLOOKUP($F$16,'Анализ стоимости'!$A$4:$DK$59,46,0)+D267</f>
        <v>#N/A</v>
      </c>
      <c r="J272" s="136" t="e">
        <f t="shared" si="78"/>
        <v>#N/A</v>
      </c>
    </row>
    <row r="273" spans="1:10">
      <c r="A273" s="252" t="e">
        <f>IF(D273=0,0,A272+1)</f>
        <v>#N/A</v>
      </c>
      <c r="B273" s="258" t="s">
        <v>159</v>
      </c>
      <c r="C273" s="252" t="s">
        <v>156</v>
      </c>
      <c r="D273" s="257" t="e">
        <f>VLOOKUP($F$16,'Анализ стоимости'!$A$4:$DK$59,66,0)</f>
        <v>#N/A</v>
      </c>
      <c r="J273" s="136" t="e">
        <f t="shared" si="78"/>
        <v>#N/A</v>
      </c>
    </row>
    <row r="274" spans="1:10">
      <c r="A274" s="252" t="e">
        <f>IF(D274=0,0,A273+1)</f>
        <v>#N/A</v>
      </c>
      <c r="B274" s="258" t="s">
        <v>203</v>
      </c>
      <c r="C274" s="252" t="s">
        <v>156</v>
      </c>
      <c r="D274" s="257" t="e">
        <f>SUM(D272:D273)</f>
        <v>#N/A</v>
      </c>
      <c r="E274" s="254" t="e">
        <f>VLOOKUP($F$16,'Анализ стоимости'!$A$4:$DK$59,77,0)</f>
        <v>#N/A</v>
      </c>
      <c r="J274" s="136" t="e">
        <f t="shared" si="78"/>
        <v>#N/A</v>
      </c>
    </row>
    <row r="275" spans="1:10">
      <c r="A275" s="252" t="e">
        <f>IF(D275=0,0,A274+1)</f>
        <v>#N/A</v>
      </c>
      <c r="B275" s="258" t="s">
        <v>158</v>
      </c>
      <c r="C275" s="252" t="s">
        <v>156</v>
      </c>
      <c r="D275" s="257" t="e">
        <f>IF(OR(D271=0,D274=0),0,D274+D271)</f>
        <v>#N/A</v>
      </c>
      <c r="E275" s="254" t="e">
        <f>VLOOKUP($F$16,'Анализ стоимости'!$A$4:$DK$59,67,0)</f>
        <v>#N/A</v>
      </c>
      <c r="J275" s="136" t="e">
        <f t="shared" si="78"/>
        <v>#N/A</v>
      </c>
    </row>
    <row r="276" spans="1:10">
      <c r="A276" s="262"/>
      <c r="B276" s="262"/>
      <c r="C276" s="262"/>
      <c r="D276" s="263"/>
      <c r="J276" s="136" t="str">
        <f>IF($F$16=0,"",1)</f>
        <v/>
      </c>
    </row>
    <row r="277" spans="1:10" ht="31.5" customHeight="1">
      <c r="A277" s="289" t="str">
        <f>'Анализ стоимости'!M$52</f>
        <v>Заместитель главы Вышестеблиевского сельского поселения Темрюкского района</v>
      </c>
      <c r="B277" s="290"/>
      <c r="C277" s="264"/>
      <c r="D277" s="265" t="str">
        <f>CONCATENATE("_____________________ ",'Анализ стоимости'!M$53)</f>
        <v>_____________________ Н.Д.Шевченко</v>
      </c>
      <c r="G277" s="267" t="str">
        <f>A277</f>
        <v>Заместитель главы Вышестеблиевского сельского поселения Темрюкского района</v>
      </c>
      <c r="J277" s="136" t="str">
        <f>IF($F$12=0,"",1)</f>
        <v/>
      </c>
    </row>
    <row r="278" spans="1:10" s="237" customFormat="1" ht="5.25">
      <c r="A278" s="269"/>
      <c r="B278" s="269"/>
      <c r="C278" s="269"/>
      <c r="D278" s="270"/>
      <c r="G278" s="238"/>
      <c r="H278" s="238"/>
      <c r="I278" s="273"/>
      <c r="J278" s="277" t="str">
        <f>IF($F$12=0,"",1)</f>
        <v/>
      </c>
    </row>
    <row r="279" spans="1:10">
      <c r="A279" s="291">
        <f ca="1">TODAY()</f>
        <v>41941</v>
      </c>
      <c r="B279" s="291"/>
      <c r="C279" s="224"/>
      <c r="D279" s="224"/>
      <c r="J279" s="136" t="str">
        <f>IF($F$16=0,"",1)</f>
        <v/>
      </c>
    </row>
    <row r="280" spans="1:10">
      <c r="A280" s="295" t="s">
        <v>177</v>
      </c>
      <c r="B280" s="295"/>
      <c r="C280" s="295"/>
      <c r="D280" s="295"/>
      <c r="G280" s="226"/>
      <c r="H280" s="226"/>
      <c r="J280" s="136" t="str">
        <f t="shared" ref="J280:J297" si="79">IF($F$17=0,"",1)</f>
        <v/>
      </c>
    </row>
    <row r="281" spans="1:10">
      <c r="A281" s="296" t="e">
        <f>CONCATENATE("Наименование объекта: ",VLOOKUP($F$17,'Анализ стоимости'!$A$4:$DK$59,11+2,0))</f>
        <v>#N/A</v>
      </c>
      <c r="B281" s="296"/>
      <c r="C281" s="296"/>
      <c r="D281" s="296"/>
      <c r="I281" s="276" t="e">
        <f>A281</f>
        <v>#N/A</v>
      </c>
      <c r="J281" s="136" t="str">
        <f t="shared" si="79"/>
        <v/>
      </c>
    </row>
    <row r="282" spans="1:10" s="237" customFormat="1" ht="5.25">
      <c r="A282" s="246"/>
      <c r="B282" s="235"/>
      <c r="C282" s="235"/>
      <c r="D282" s="235"/>
      <c r="G282" s="238"/>
      <c r="H282" s="238"/>
      <c r="I282" s="273"/>
      <c r="J282" s="277" t="str">
        <f t="shared" si="79"/>
        <v/>
      </c>
    </row>
    <row r="283" spans="1:10">
      <c r="A283" s="248" t="s">
        <v>149</v>
      </c>
      <c r="B283" s="241"/>
      <c r="C283" s="241"/>
      <c r="D283" s="241"/>
      <c r="J283" s="136" t="str">
        <f t="shared" si="79"/>
        <v/>
      </c>
    </row>
    <row r="284" spans="1:10">
      <c r="A284" s="297" t="s">
        <v>150</v>
      </c>
      <c r="B284" s="297"/>
      <c r="C284" s="297"/>
      <c r="D284" s="297"/>
      <c r="J284" s="136" t="str">
        <f t="shared" si="79"/>
        <v/>
      </c>
    </row>
    <row r="285" spans="1:10" ht="47.25" customHeight="1">
      <c r="A285" s="249" t="s">
        <v>53</v>
      </c>
      <c r="B285" s="249" t="s">
        <v>87</v>
      </c>
      <c r="C285" s="298" t="e">
        <f>CONCATENATE("Стоимость  согласно сметной документации (руб.) в текущих ценах по состоянию на ",VLOOKUP($F$17,'Анализ стоимости'!$A$4:$BY$59,6+2,0)," г.")</f>
        <v>#N/A</v>
      </c>
      <c r="D285" s="299"/>
      <c r="H285" s="250" t="e">
        <f>C285</f>
        <v>#N/A</v>
      </c>
      <c r="J285" s="136" t="str">
        <f t="shared" si="79"/>
        <v/>
      </c>
    </row>
    <row r="286" spans="1:10">
      <c r="A286" s="252">
        <v>1</v>
      </c>
      <c r="B286" s="253" t="s">
        <v>28</v>
      </c>
      <c r="C286" s="292" t="e">
        <f>VLOOKUP($F$17,'Анализ стоимости'!$A$4:$BY$59,12+2,0)</f>
        <v>#N/A</v>
      </c>
      <c r="D286" s="293"/>
      <c r="J286" s="136" t="str">
        <f t="shared" si="79"/>
        <v/>
      </c>
    </row>
    <row r="287" spans="1:10">
      <c r="A287" s="252">
        <v>2</v>
      </c>
      <c r="B287" s="253" t="s">
        <v>23</v>
      </c>
      <c r="C287" s="292" t="e">
        <f>VLOOKUP($F$17,'Анализ стоимости'!$A$4:$DK$59,13+2,0)</f>
        <v>#N/A</v>
      </c>
      <c r="D287" s="293"/>
      <c r="J287" s="136" t="str">
        <f t="shared" si="79"/>
        <v/>
      </c>
    </row>
    <row r="288" spans="1:10" ht="31.5">
      <c r="A288" s="252">
        <v>3</v>
      </c>
      <c r="B288" s="253" t="s">
        <v>2</v>
      </c>
      <c r="C288" s="292" t="e">
        <f>VLOOKUP($F$17,'Анализ стоимости'!$A$4:$DK$59,14+2,0)</f>
        <v>#N/A</v>
      </c>
      <c r="D288" s="293"/>
      <c r="J288" s="136" t="str">
        <f t="shared" si="79"/>
        <v/>
      </c>
    </row>
    <row r="289" spans="1:10">
      <c r="A289" s="252">
        <v>4</v>
      </c>
      <c r="B289" s="253" t="s">
        <v>24</v>
      </c>
      <c r="C289" s="292" t="e">
        <f>VLOOKUP($F$17,'Анализ стоимости'!$A$4:$DK$59,15+2,0)</f>
        <v>#N/A</v>
      </c>
      <c r="D289" s="293"/>
      <c r="J289" s="136" t="str">
        <f t="shared" si="79"/>
        <v/>
      </c>
    </row>
    <row r="290" spans="1:10">
      <c r="A290" s="252">
        <v>5</v>
      </c>
      <c r="B290" s="253" t="s">
        <v>5</v>
      </c>
      <c r="C290" s="292" t="e">
        <f>VLOOKUP($F$17,'Анализ стоимости'!$A$4:$DK$59,16+2,0)</f>
        <v>#N/A</v>
      </c>
      <c r="D290" s="293"/>
      <c r="J290" s="136" t="str">
        <f t="shared" si="79"/>
        <v/>
      </c>
    </row>
    <row r="291" spans="1:10">
      <c r="A291" s="252">
        <v>6</v>
      </c>
      <c r="B291" s="253" t="s">
        <v>10</v>
      </c>
      <c r="C291" s="292" t="e">
        <f>VLOOKUP($F$17,'Анализ стоимости'!$A$4:$DK$59,20+2,0)</f>
        <v>#N/A</v>
      </c>
      <c r="D291" s="293"/>
      <c r="J291" s="136" t="str">
        <f t="shared" si="79"/>
        <v/>
      </c>
    </row>
    <row r="292" spans="1:10">
      <c r="A292" s="252">
        <v>7</v>
      </c>
      <c r="B292" s="253" t="s">
        <v>79</v>
      </c>
      <c r="C292" s="292" t="e">
        <f>VLOOKUP($F$17,'Анализ стоимости'!$A$4:$DK$59,21+2,0)+VLOOKUP($F$17,'Анализ стоимости'!$A$4:$DK$59,23+2,0)+VLOOKUP($F$17,'Анализ стоимости'!$A$4:$DK$59,24+2,0)+VLOOKUP($F$17,'Анализ стоимости'!$A$4:$DK$59,25+2,0)+VLOOKUP($F$17,'Анализ стоимости'!$A$4:$DK$59,26+2,0)+VLOOKUP($F$17,'Анализ стоимости'!$A$4:$DK$59,27+2,0)+VLOOKUP($F$17,'Анализ стоимости'!$A$4:$DK$59,28+2,0)+VLOOKUP($F$17,'Анализ стоимости'!$A$4:$DK$59,29+2,0)</f>
        <v>#N/A</v>
      </c>
      <c r="D292" s="293"/>
      <c r="J292" s="136" t="str">
        <f t="shared" si="79"/>
        <v/>
      </c>
    </row>
    <row r="293" spans="1:10">
      <c r="A293" s="252">
        <v>8</v>
      </c>
      <c r="B293" s="253" t="s">
        <v>46</v>
      </c>
      <c r="C293" s="292" t="e">
        <f>VLOOKUP($F$17,'Анализ стоимости'!$A$4:$DK$59,34+2,0)</f>
        <v>#N/A</v>
      </c>
      <c r="D293" s="293"/>
      <c r="J293" s="136" t="str">
        <f t="shared" si="79"/>
        <v/>
      </c>
    </row>
    <row r="294" spans="1:10">
      <c r="A294" s="252">
        <v>9</v>
      </c>
      <c r="B294" s="253" t="s">
        <v>169</v>
      </c>
      <c r="C294" s="292" t="e">
        <f>SUM(C286:D293)</f>
        <v>#N/A</v>
      </c>
      <c r="D294" s="293"/>
      <c r="J294" s="136" t="str">
        <f t="shared" si="79"/>
        <v/>
      </c>
    </row>
    <row r="295" spans="1:10">
      <c r="A295" s="294" t="s">
        <v>161</v>
      </c>
      <c r="B295" s="294"/>
      <c r="C295" s="294"/>
      <c r="D295" s="294"/>
      <c r="J295" s="136" t="str">
        <f t="shared" si="79"/>
        <v/>
      </c>
    </row>
    <row r="296" spans="1:10" ht="31.5">
      <c r="A296" s="255" t="s">
        <v>53</v>
      </c>
      <c r="B296" s="249" t="s">
        <v>15</v>
      </c>
      <c r="C296" s="249" t="s">
        <v>152</v>
      </c>
      <c r="D296" s="249" t="s">
        <v>88</v>
      </c>
      <c r="J296" s="136" t="str">
        <f t="shared" si="79"/>
        <v/>
      </c>
    </row>
    <row r="297" spans="1:10">
      <c r="A297" s="252">
        <v>10</v>
      </c>
      <c r="B297" s="252" t="e">
        <f>VLOOKUP((VLOOKUP($F$17,'Анализ стоимости'!$A$4:$BY$59,12,0)),'Расчет инфляции'!$BD$5:$BE$22,2,0)</f>
        <v>#N/A</v>
      </c>
      <c r="C297" s="252"/>
      <c r="D297" s="253"/>
      <c r="J297" s="136" t="str">
        <f t="shared" si="79"/>
        <v/>
      </c>
    </row>
    <row r="298" spans="1:10">
      <c r="A298" s="252" t="e">
        <f>IF(D298=0,0,A297+1)</f>
        <v>#N/A</v>
      </c>
      <c r="B298" s="253" t="e">
        <f>CONCATENATE("2014 г. (",CHOOSE(VLOOKUP(F$17,'Анализ стоимости'!$A$4:$DK$90,68,0),"Январь","Февраль","Март","Апрель","Май","Июнь","Июль","Август","Сентябрь","Октябрь","Ноябрь","Декабрь")," - ",CHOOSE(VLOOKUP(F$17,'Анализ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298" s="252" t="s">
        <v>153</v>
      </c>
      <c r="D298" s="278" t="e">
        <f>IF(D300=0,0,VLOOKUP($F$17,'Анализ стоимости'!$A$4:$DK$59,74,0)*100+100)</f>
        <v>#N/A</v>
      </c>
      <c r="J298" s="136" t="e">
        <f>IF(D298=0,"",1)</f>
        <v>#N/A</v>
      </c>
    </row>
    <row r="299" spans="1:10">
      <c r="A299" s="252" t="e">
        <f>IF(D299=0,0,IF(D298=0,A297+1,A298+1))</f>
        <v>#N/A</v>
      </c>
      <c r="B299" s="253" t="e">
        <f>CONCATENATE("2015 г. (",CHOOSE(VLOOKUP(F$17,'Анализ стоимости'!$A$4:$DK$90,70,0),"Январь","Февраль","Март","Апрель","Май","Июнь","Июль","Август","Сентябрь","Октябрь","Ноябрь","Декабрь")," - ",CHOOSE(VLOOKUP(F$17,'Анализ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299" s="252" t="s">
        <v>153</v>
      </c>
      <c r="D299" s="278" t="e">
        <f>IF(D301=0,0,VLOOKUP($F$17,'Анализ стоимости'!$A$4:$DK$59,75,0)*100+100)</f>
        <v>#N/A</v>
      </c>
      <c r="J299" s="136" t="e">
        <f t="shared" ref="J299:J301" si="80">IF(D299=0,"",1)</f>
        <v>#N/A</v>
      </c>
    </row>
    <row r="300" spans="1:10">
      <c r="A300" s="252" t="e">
        <f>IF(D300=0,0,IF(D299=0,A298+1,A299+1))</f>
        <v>#N/A</v>
      </c>
      <c r="B300" s="253" t="s">
        <v>154</v>
      </c>
      <c r="C300" s="252" t="s">
        <v>156</v>
      </c>
      <c r="D300" s="257" t="e">
        <f>VLOOKUP($F$17,'Анализ стоимости'!$A$4:$DK$59,51,0)</f>
        <v>#N/A</v>
      </c>
      <c r="J300" s="136" t="e">
        <f t="shared" si="80"/>
        <v>#N/A</v>
      </c>
    </row>
    <row r="301" spans="1:10">
      <c r="A301" s="252" t="e">
        <f>IF(D301=0,0,IF(D300=0,A299+1,A300+1))</f>
        <v>#N/A</v>
      </c>
      <c r="B301" s="253" t="s">
        <v>155</v>
      </c>
      <c r="C301" s="252" t="s">
        <v>156</v>
      </c>
      <c r="D301" s="257" t="e">
        <f>VLOOKUP($F$17,'Анализ стоимости'!$A$4:$DK$59,61,0)</f>
        <v>#N/A</v>
      </c>
      <c r="J301" s="136" t="e">
        <f t="shared" si="80"/>
        <v>#N/A</v>
      </c>
    </row>
    <row r="302" spans="1:10">
      <c r="A302" s="294" t="s">
        <v>157</v>
      </c>
      <c r="B302" s="294"/>
      <c r="C302" s="294"/>
      <c r="D302" s="294"/>
      <c r="J302" s="136" t="str">
        <f>IF($F$17=0,"",1)</f>
        <v/>
      </c>
    </row>
    <row r="303" spans="1:10" ht="31.5">
      <c r="A303" s="252" t="e">
        <f>IF(D303=0,0,IF(D301=0,IF(D300=0,A297+1,A300+1),A301+1))</f>
        <v>#N/A</v>
      </c>
      <c r="B303" s="258" t="s">
        <v>206</v>
      </c>
      <c r="C303" s="252" t="s">
        <v>156</v>
      </c>
      <c r="D303" s="257" t="e">
        <f>SUM(VLOOKUP($F$17,'Анализ стоимости'!$A$4:$DK$59,46,0),D300)</f>
        <v>#N/A</v>
      </c>
      <c r="E303" s="136"/>
      <c r="J303" s="136" t="e">
        <f t="shared" ref="J303:J309" si="81">IF(D303=0,"",1)</f>
        <v>#N/A</v>
      </c>
    </row>
    <row r="304" spans="1:10">
      <c r="A304" s="252" t="e">
        <f>IF(D304=0,0,A303+1)</f>
        <v>#N/A</v>
      </c>
      <c r="B304" s="258" t="s">
        <v>159</v>
      </c>
      <c r="C304" s="252" t="s">
        <v>156</v>
      </c>
      <c r="D304" s="257" t="e">
        <f>VLOOKUP($F$17,'Анализ стоимости'!$A$4:$DK$59,56,0)</f>
        <v>#N/A</v>
      </c>
      <c r="E304" s="136"/>
      <c r="J304" s="136" t="e">
        <f t="shared" si="81"/>
        <v>#N/A</v>
      </c>
    </row>
    <row r="305" spans="1:10">
      <c r="A305" s="252" t="e">
        <f>IF(D305=0,0,A304+1)</f>
        <v>#N/A</v>
      </c>
      <c r="B305" s="258" t="s">
        <v>205</v>
      </c>
      <c r="C305" s="252" t="s">
        <v>156</v>
      </c>
      <c r="D305" s="257" t="e">
        <f>SUM(D303:D304)</f>
        <v>#N/A</v>
      </c>
      <c r="E305" s="254" t="e">
        <f>VLOOKUP($F$17,'Анализ стоимости'!$A$4:$DK$59,76,0)</f>
        <v>#N/A</v>
      </c>
      <c r="J305" s="136" t="e">
        <f t="shared" si="81"/>
        <v>#N/A</v>
      </c>
    </row>
    <row r="306" spans="1:10" ht="31.5">
      <c r="A306" s="252" t="e">
        <f>IF(D306=0,0,IF(D305=0,IF(D301=0,A297+1,A301+1),A305+1))</f>
        <v>#N/A</v>
      </c>
      <c r="B306" s="258" t="s">
        <v>204</v>
      </c>
      <c r="C306" s="252" t="s">
        <v>156</v>
      </c>
      <c r="D306" s="257" t="e">
        <f>VLOOKUP($F$17,'Анализ стоимости'!$A$4:$DK$59,41,0)-VLOOKUP($F$17,'Анализ стоимости'!$A$4:$DK$59,46,0)+D301</f>
        <v>#N/A</v>
      </c>
      <c r="J306" s="136" t="e">
        <f t="shared" si="81"/>
        <v>#N/A</v>
      </c>
    </row>
    <row r="307" spans="1:10">
      <c r="A307" s="252" t="e">
        <f>IF(D307=0,0,A306+1)</f>
        <v>#N/A</v>
      </c>
      <c r="B307" s="258" t="s">
        <v>159</v>
      </c>
      <c r="C307" s="252" t="s">
        <v>156</v>
      </c>
      <c r="D307" s="257" t="e">
        <f>VLOOKUP($F$17,'Анализ стоимости'!$A$4:$DK$59,66,0)</f>
        <v>#N/A</v>
      </c>
      <c r="J307" s="136" t="e">
        <f t="shared" si="81"/>
        <v>#N/A</v>
      </c>
    </row>
    <row r="308" spans="1:10">
      <c r="A308" s="252" t="e">
        <f>IF(D308=0,0,A307+1)</f>
        <v>#N/A</v>
      </c>
      <c r="B308" s="258" t="s">
        <v>203</v>
      </c>
      <c r="C308" s="252" t="s">
        <v>156</v>
      </c>
      <c r="D308" s="257" t="e">
        <f>SUM(D306:D307)</f>
        <v>#N/A</v>
      </c>
      <c r="E308" s="254" t="e">
        <f>VLOOKUP($F$17,'Анализ стоимости'!$A$4:$DK$59,77,0)</f>
        <v>#N/A</v>
      </c>
      <c r="J308" s="136" t="e">
        <f t="shared" si="81"/>
        <v>#N/A</v>
      </c>
    </row>
    <row r="309" spans="1:10">
      <c r="A309" s="252" t="e">
        <f>IF(D309=0,0,A308+1)</f>
        <v>#N/A</v>
      </c>
      <c r="B309" s="258" t="s">
        <v>158</v>
      </c>
      <c r="C309" s="252" t="s">
        <v>156</v>
      </c>
      <c r="D309" s="257" t="e">
        <f>IF(OR(D305=0,D308=0),0,D308+D305)</f>
        <v>#N/A</v>
      </c>
      <c r="E309" s="254" t="e">
        <f>VLOOKUP($F$17,'Анализ стоимости'!$A$4:$DK$59,67,0)</f>
        <v>#N/A</v>
      </c>
      <c r="J309" s="136" t="e">
        <f t="shared" si="81"/>
        <v>#N/A</v>
      </c>
    </row>
    <row r="310" spans="1:10">
      <c r="A310" s="262"/>
      <c r="B310" s="262"/>
      <c r="C310" s="262"/>
      <c r="D310" s="263"/>
      <c r="J310" s="136" t="str">
        <f>IF($F$17=0,"",1)</f>
        <v/>
      </c>
    </row>
    <row r="311" spans="1:10" ht="31.5" customHeight="1">
      <c r="A311" s="289" t="str">
        <f>'Анализ стоимости'!M$52</f>
        <v>Заместитель главы Вышестеблиевского сельского поселения Темрюкского района</v>
      </c>
      <c r="B311" s="290"/>
      <c r="C311" s="264"/>
      <c r="D311" s="265" t="str">
        <f>CONCATENATE("_____________________ ",'Анализ стоимости'!M$53)</f>
        <v>_____________________ Н.Д.Шевченко</v>
      </c>
      <c r="G311" s="267" t="str">
        <f>A311</f>
        <v>Заместитель главы Вышестеблиевского сельского поселения Темрюкского района</v>
      </c>
      <c r="J311" s="136" t="str">
        <f>IF($F$12=0,"",1)</f>
        <v/>
      </c>
    </row>
    <row r="312" spans="1:10" s="237" customFormat="1" ht="5.25">
      <c r="A312" s="269"/>
      <c r="B312" s="269"/>
      <c r="C312" s="269"/>
      <c r="D312" s="270"/>
      <c r="G312" s="238"/>
      <c r="H312" s="238"/>
      <c r="I312" s="273"/>
      <c r="J312" s="277" t="str">
        <f>IF($F$12=0,"",1)</f>
        <v/>
      </c>
    </row>
    <row r="313" spans="1:10">
      <c r="A313" s="291">
        <f ca="1">TODAY()</f>
        <v>41941</v>
      </c>
      <c r="B313" s="291"/>
      <c r="C313" s="224"/>
      <c r="D313" s="224"/>
      <c r="J313" s="136" t="str">
        <f>IF($F$17=0,"",1)</f>
        <v/>
      </c>
    </row>
    <row r="314" spans="1:10">
      <c r="A314" s="295" t="s">
        <v>178</v>
      </c>
      <c r="B314" s="295"/>
      <c r="C314" s="295"/>
      <c r="D314" s="295"/>
      <c r="G314" s="226"/>
      <c r="H314" s="226"/>
      <c r="J314" s="136" t="str">
        <f t="shared" ref="J314:J331" si="82">IF($F$18=0,"",1)</f>
        <v/>
      </c>
    </row>
    <row r="315" spans="1:10">
      <c r="A315" s="296" t="e">
        <f>CONCATENATE("Наименование объекта: ",VLOOKUP($F$18,'Анализ стоимости'!$A$4:$DK$59,11+2,0))</f>
        <v>#N/A</v>
      </c>
      <c r="B315" s="296"/>
      <c r="C315" s="296"/>
      <c r="D315" s="296"/>
      <c r="I315" s="276" t="e">
        <f>A315</f>
        <v>#N/A</v>
      </c>
      <c r="J315" s="136" t="str">
        <f t="shared" si="82"/>
        <v/>
      </c>
    </row>
    <row r="316" spans="1:10" s="237" customFormat="1" ht="5.25">
      <c r="A316" s="246"/>
      <c r="B316" s="235"/>
      <c r="C316" s="235"/>
      <c r="D316" s="235"/>
      <c r="G316" s="238"/>
      <c r="H316" s="238"/>
      <c r="I316" s="273"/>
      <c r="J316" s="277" t="str">
        <f t="shared" si="82"/>
        <v/>
      </c>
    </row>
    <row r="317" spans="1:10">
      <c r="A317" s="248" t="s">
        <v>149</v>
      </c>
      <c r="B317" s="241"/>
      <c r="C317" s="241"/>
      <c r="D317" s="241"/>
      <c r="J317" s="136" t="str">
        <f t="shared" si="82"/>
        <v/>
      </c>
    </row>
    <row r="318" spans="1:10">
      <c r="A318" s="297" t="s">
        <v>150</v>
      </c>
      <c r="B318" s="297"/>
      <c r="C318" s="297"/>
      <c r="D318" s="297"/>
      <c r="J318" s="136" t="str">
        <f t="shared" si="82"/>
        <v/>
      </c>
    </row>
    <row r="319" spans="1:10" ht="47.25" customHeight="1">
      <c r="A319" s="249" t="s">
        <v>53</v>
      </c>
      <c r="B319" s="249" t="s">
        <v>87</v>
      </c>
      <c r="C319" s="298" t="e">
        <f>CONCATENATE("Стоимость  согласно сметной документации (руб.) в текущих ценах по состоянию на ",VLOOKUP($F$18,'Анализ стоимости'!$A$4:$BY$59,6+2,0)," г.")</f>
        <v>#N/A</v>
      </c>
      <c r="D319" s="299"/>
      <c r="H319" s="250" t="e">
        <f>C319</f>
        <v>#N/A</v>
      </c>
      <c r="J319" s="136" t="str">
        <f t="shared" si="82"/>
        <v/>
      </c>
    </row>
    <row r="320" spans="1:10">
      <c r="A320" s="252">
        <v>1</v>
      </c>
      <c r="B320" s="253" t="s">
        <v>28</v>
      </c>
      <c r="C320" s="292" t="e">
        <f>VLOOKUP($F$18,'Анализ стоимости'!$A$4:$BY$59,12+2,0)</f>
        <v>#N/A</v>
      </c>
      <c r="D320" s="293"/>
      <c r="J320" s="136" t="str">
        <f t="shared" si="82"/>
        <v/>
      </c>
    </row>
    <row r="321" spans="1:10">
      <c r="A321" s="252">
        <v>2</v>
      </c>
      <c r="B321" s="253" t="s">
        <v>23</v>
      </c>
      <c r="C321" s="292" t="e">
        <f>VLOOKUP($F$18,'Анализ стоимости'!$A$4:$DK$59,13+2,0)</f>
        <v>#N/A</v>
      </c>
      <c r="D321" s="293"/>
      <c r="J321" s="136" t="str">
        <f t="shared" si="82"/>
        <v/>
      </c>
    </row>
    <row r="322" spans="1:10" ht="31.5">
      <c r="A322" s="252">
        <v>3</v>
      </c>
      <c r="B322" s="253" t="s">
        <v>2</v>
      </c>
      <c r="C322" s="292" t="e">
        <f>VLOOKUP($F$18,'Анализ стоимости'!$A$4:$DK$59,14+2,0)</f>
        <v>#N/A</v>
      </c>
      <c r="D322" s="293"/>
      <c r="J322" s="136" t="str">
        <f t="shared" si="82"/>
        <v/>
      </c>
    </row>
    <row r="323" spans="1:10">
      <c r="A323" s="252">
        <v>4</v>
      </c>
      <c r="B323" s="253" t="s">
        <v>24</v>
      </c>
      <c r="C323" s="292" t="e">
        <f>VLOOKUP($F$18,'Анализ стоимости'!$A$4:$DK$59,15+2,0)</f>
        <v>#N/A</v>
      </c>
      <c r="D323" s="293"/>
      <c r="J323" s="136" t="str">
        <f t="shared" si="82"/>
        <v/>
      </c>
    </row>
    <row r="324" spans="1:10">
      <c r="A324" s="252">
        <v>5</v>
      </c>
      <c r="B324" s="253" t="s">
        <v>5</v>
      </c>
      <c r="C324" s="292" t="e">
        <f>VLOOKUP($F$18,'Анализ стоимости'!$A$4:$DK$59,16+2,0)</f>
        <v>#N/A</v>
      </c>
      <c r="D324" s="293"/>
      <c r="J324" s="136" t="str">
        <f t="shared" si="82"/>
        <v/>
      </c>
    </row>
    <row r="325" spans="1:10">
      <c r="A325" s="252">
        <v>6</v>
      </c>
      <c r="B325" s="253" t="s">
        <v>10</v>
      </c>
      <c r="C325" s="292" t="e">
        <f>VLOOKUP($F$18,'Анализ стоимости'!$A$4:$DK$59,20+2,0)</f>
        <v>#N/A</v>
      </c>
      <c r="D325" s="293"/>
      <c r="J325" s="136" t="str">
        <f t="shared" si="82"/>
        <v/>
      </c>
    </row>
    <row r="326" spans="1:10">
      <c r="A326" s="252">
        <v>7</v>
      </c>
      <c r="B326" s="253" t="s">
        <v>79</v>
      </c>
      <c r="C326" s="292" t="e">
        <f>VLOOKUP($F$18,'Анализ стоимости'!$A$4:$DK$59,21+2,0)+VLOOKUP($F$18,'Анализ стоимости'!$A$4:$DK$59,23+2,0)+VLOOKUP($F$18,'Анализ стоимости'!$A$4:$DK$59,24+2,0)+VLOOKUP($F$18,'Анализ стоимости'!$A$4:$DK$59,25+2,0)+VLOOKUP($F$18,'Анализ стоимости'!$A$4:$DK$59,26+2,0)+VLOOKUP($F$18,'Анализ стоимости'!$A$4:$DK$59,27+2,0)+VLOOKUP($F$18,'Анализ стоимости'!$A$4:$DK$59,28+2,0)+VLOOKUP($F$18,'Анализ стоимости'!$A$4:$DK$59,29+2,0)</f>
        <v>#N/A</v>
      </c>
      <c r="D326" s="293"/>
      <c r="J326" s="136" t="str">
        <f t="shared" si="82"/>
        <v/>
      </c>
    </row>
    <row r="327" spans="1:10">
      <c r="A327" s="252">
        <v>8</v>
      </c>
      <c r="B327" s="253" t="s">
        <v>46</v>
      </c>
      <c r="C327" s="292" t="e">
        <f>VLOOKUP($F$18,'Анализ стоимости'!$A$4:$DK$59,34+2,0)</f>
        <v>#N/A</v>
      </c>
      <c r="D327" s="293"/>
      <c r="J327" s="136" t="str">
        <f t="shared" si="82"/>
        <v/>
      </c>
    </row>
    <row r="328" spans="1:10">
      <c r="A328" s="252">
        <v>9</v>
      </c>
      <c r="B328" s="253" t="s">
        <v>169</v>
      </c>
      <c r="C328" s="292" t="e">
        <f>SUM(C320:D327)</f>
        <v>#N/A</v>
      </c>
      <c r="D328" s="293"/>
      <c r="J328" s="136" t="str">
        <f t="shared" si="82"/>
        <v/>
      </c>
    </row>
    <row r="329" spans="1:10">
      <c r="A329" s="294" t="s">
        <v>161</v>
      </c>
      <c r="B329" s="294"/>
      <c r="C329" s="294"/>
      <c r="D329" s="294"/>
      <c r="J329" s="136" t="str">
        <f t="shared" si="82"/>
        <v/>
      </c>
    </row>
    <row r="330" spans="1:10" ht="31.5">
      <c r="A330" s="255" t="s">
        <v>53</v>
      </c>
      <c r="B330" s="249" t="s">
        <v>15</v>
      </c>
      <c r="C330" s="249" t="s">
        <v>152</v>
      </c>
      <c r="D330" s="249" t="s">
        <v>88</v>
      </c>
      <c r="J330" s="136" t="str">
        <f t="shared" si="82"/>
        <v/>
      </c>
    </row>
    <row r="331" spans="1:10">
      <c r="A331" s="252">
        <v>10</v>
      </c>
      <c r="B331" s="252" t="e">
        <f>VLOOKUP((VLOOKUP($F$18,'Анализ стоимости'!$A$4:$BY$59,12,0)),'Расчет инфляции'!$BD$5:$BE$22,2,0)</f>
        <v>#N/A</v>
      </c>
      <c r="C331" s="252"/>
      <c r="D331" s="253"/>
      <c r="J331" s="136" t="str">
        <f t="shared" si="82"/>
        <v/>
      </c>
    </row>
    <row r="332" spans="1:10">
      <c r="A332" s="252" t="e">
        <f>IF(D332=0,0,A331+1)</f>
        <v>#N/A</v>
      </c>
      <c r="B332" s="253" t="e">
        <f>CONCATENATE("2014 г. (",CHOOSE(VLOOKUP(F$18,'Анализ стоимости'!$A$4:$DK$90,68,0),"Январь","Февраль","Март","Апрель","Май","Июнь","Июль","Август","Сентябрь","Октябрь","Ноябрь","Декабрь")," - ",CHOOSE(VLOOKUP(F$18,'Анализ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332" s="252" t="s">
        <v>153</v>
      </c>
      <c r="D332" s="278" t="e">
        <f>IF(D334=0,0,VLOOKUP($F$18,'Анализ стоимости'!$A$4:$DK$59,74,0)*100+100)</f>
        <v>#N/A</v>
      </c>
      <c r="J332" s="136" t="e">
        <f>IF(D332=0,"",1)</f>
        <v>#N/A</v>
      </c>
    </row>
    <row r="333" spans="1:10">
      <c r="A333" s="252" t="e">
        <f>IF(D333=0,0,IF(D332=0,A331+1,A332+1))</f>
        <v>#N/A</v>
      </c>
      <c r="B333" s="253" t="e">
        <f>CONCATENATE("2015 г. (",CHOOSE(VLOOKUP(F$18,'Анализ стоимости'!$A$4:$DK$90,70,0),"Январь","Февраль","Март","Апрель","Май","Июнь","Июль","Август","Сентябрь","Октябрь","Ноябрь","Декабрь")," - ",CHOOSE(VLOOKUP(F$18,'Анализ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333" s="252" t="s">
        <v>153</v>
      </c>
      <c r="D333" s="278" t="e">
        <f>IF(D335=0,0,VLOOKUP($F$18,'Анализ стоимости'!$A$4:$DK$59,75,0)*100+100)</f>
        <v>#N/A</v>
      </c>
      <c r="J333" s="136" t="e">
        <f t="shared" ref="J333:J335" si="83">IF(D333=0,"",1)</f>
        <v>#N/A</v>
      </c>
    </row>
    <row r="334" spans="1:10">
      <c r="A334" s="252" t="e">
        <f>IF(D334=0,0,IF(D333=0,A332+1,A333+1))</f>
        <v>#N/A</v>
      </c>
      <c r="B334" s="253" t="s">
        <v>154</v>
      </c>
      <c r="C334" s="252" t="s">
        <v>156</v>
      </c>
      <c r="D334" s="257" t="e">
        <f>VLOOKUP($F$18,'Анализ стоимости'!$A$4:$DK$59,51,0)</f>
        <v>#N/A</v>
      </c>
      <c r="J334" s="136" t="e">
        <f t="shared" si="83"/>
        <v>#N/A</v>
      </c>
    </row>
    <row r="335" spans="1:10">
      <c r="A335" s="252" t="e">
        <f>IF(D335=0,0,IF(D334=0,A333+1,A334+1))</f>
        <v>#N/A</v>
      </c>
      <c r="B335" s="253" t="s">
        <v>155</v>
      </c>
      <c r="C335" s="252" t="s">
        <v>156</v>
      </c>
      <c r="D335" s="257" t="e">
        <f>VLOOKUP($F$18,'Анализ стоимости'!$A$4:$DK$59,61,0)</f>
        <v>#N/A</v>
      </c>
      <c r="J335" s="136" t="e">
        <f t="shared" si="83"/>
        <v>#N/A</v>
      </c>
    </row>
    <row r="336" spans="1:10">
      <c r="A336" s="294" t="s">
        <v>157</v>
      </c>
      <c r="B336" s="294"/>
      <c r="C336" s="294"/>
      <c r="D336" s="294"/>
      <c r="J336" s="136" t="str">
        <f>IF($F$18=0,"",1)</f>
        <v/>
      </c>
    </row>
    <row r="337" spans="1:10" ht="31.5">
      <c r="A337" s="252" t="e">
        <f>IF(D337=0,0,IF(D335=0,IF(D334=0,A331+1,A334+1),A335+1))</f>
        <v>#N/A</v>
      </c>
      <c r="B337" s="258" t="s">
        <v>206</v>
      </c>
      <c r="C337" s="252" t="s">
        <v>156</v>
      </c>
      <c r="D337" s="257" t="e">
        <f>SUM(VLOOKUP($F$18,'Анализ стоимости'!$A$4:$DK$59,46,0),D334)</f>
        <v>#N/A</v>
      </c>
      <c r="E337" s="136"/>
      <c r="J337" s="136" t="e">
        <f t="shared" ref="J337:J343" si="84">IF(D337=0,"",1)</f>
        <v>#N/A</v>
      </c>
    </row>
    <row r="338" spans="1:10">
      <c r="A338" s="252" t="e">
        <f>IF(D338=0,0,A337+1)</f>
        <v>#N/A</v>
      </c>
      <c r="B338" s="258" t="s">
        <v>159</v>
      </c>
      <c r="C338" s="252" t="s">
        <v>156</v>
      </c>
      <c r="D338" s="257" t="e">
        <f>VLOOKUP($F$18,'Анализ стоимости'!$A$4:$DK$59,56,0)</f>
        <v>#N/A</v>
      </c>
      <c r="E338" s="136"/>
      <c r="J338" s="136" t="e">
        <f t="shared" si="84"/>
        <v>#N/A</v>
      </c>
    </row>
    <row r="339" spans="1:10">
      <c r="A339" s="252" t="e">
        <f>IF(D339=0,0,A338+1)</f>
        <v>#N/A</v>
      </c>
      <c r="B339" s="258" t="s">
        <v>205</v>
      </c>
      <c r="C339" s="252" t="s">
        <v>156</v>
      </c>
      <c r="D339" s="257" t="e">
        <f>SUM(D337:D338)</f>
        <v>#N/A</v>
      </c>
      <c r="E339" s="254" t="e">
        <f>VLOOKUP($F$18,'Анализ стоимости'!$A$4:$DK$59,76,0)</f>
        <v>#N/A</v>
      </c>
      <c r="J339" s="136" t="e">
        <f t="shared" si="84"/>
        <v>#N/A</v>
      </c>
    </row>
    <row r="340" spans="1:10" ht="31.5">
      <c r="A340" s="252" t="e">
        <f>IF(D340=0,0,IF(D339=0,IF(D335=0,A331+1,A335+1),A339+1))</f>
        <v>#N/A</v>
      </c>
      <c r="B340" s="258" t="s">
        <v>204</v>
      </c>
      <c r="C340" s="252" t="s">
        <v>156</v>
      </c>
      <c r="D340" s="257" t="e">
        <f>VLOOKUP($F$18,'Анализ стоимости'!$A$4:$DK$59,41,0)-VLOOKUP($F$18,'Анализ стоимости'!$A$4:$DK$59,46,0)+D335</f>
        <v>#N/A</v>
      </c>
      <c r="J340" s="136" t="e">
        <f t="shared" si="84"/>
        <v>#N/A</v>
      </c>
    </row>
    <row r="341" spans="1:10">
      <c r="A341" s="252" t="e">
        <f>IF(D341=0,0,A340+1)</f>
        <v>#N/A</v>
      </c>
      <c r="B341" s="258" t="s">
        <v>159</v>
      </c>
      <c r="C341" s="252" t="s">
        <v>156</v>
      </c>
      <c r="D341" s="257" t="e">
        <f>VLOOKUP($F$18,'Анализ стоимости'!$A$4:$DK$59,66,0)</f>
        <v>#N/A</v>
      </c>
      <c r="J341" s="136" t="e">
        <f t="shared" si="84"/>
        <v>#N/A</v>
      </c>
    </row>
    <row r="342" spans="1:10">
      <c r="A342" s="252" t="e">
        <f>IF(D342=0,0,A341+1)</f>
        <v>#N/A</v>
      </c>
      <c r="B342" s="258" t="s">
        <v>203</v>
      </c>
      <c r="C342" s="252" t="s">
        <v>156</v>
      </c>
      <c r="D342" s="257" t="e">
        <f>SUM(D340:D341)</f>
        <v>#N/A</v>
      </c>
      <c r="E342" s="254" t="e">
        <f>VLOOKUP($F$18,'Анализ стоимости'!$A$4:$DK$59,77,0)</f>
        <v>#N/A</v>
      </c>
      <c r="J342" s="136" t="e">
        <f t="shared" si="84"/>
        <v>#N/A</v>
      </c>
    </row>
    <row r="343" spans="1:10">
      <c r="A343" s="252" t="e">
        <f>IF(D343=0,0,A342+1)</f>
        <v>#N/A</v>
      </c>
      <c r="B343" s="258" t="s">
        <v>158</v>
      </c>
      <c r="C343" s="252" t="s">
        <v>156</v>
      </c>
      <c r="D343" s="257" t="e">
        <f>IF(OR(D339=0,D342=0),0,D342+D339)</f>
        <v>#N/A</v>
      </c>
      <c r="E343" s="254" t="e">
        <f>VLOOKUP($F$18,'Анализ стоимости'!$A$4:$DK$59,67,0)</f>
        <v>#N/A</v>
      </c>
      <c r="J343" s="136" t="e">
        <f t="shared" si="84"/>
        <v>#N/A</v>
      </c>
    </row>
    <row r="344" spans="1:10">
      <c r="A344" s="262"/>
      <c r="B344" s="262"/>
      <c r="C344" s="262"/>
      <c r="D344" s="263"/>
      <c r="J344" s="136" t="str">
        <f>IF($F$18=0,"",1)</f>
        <v/>
      </c>
    </row>
    <row r="345" spans="1:10" ht="31.5" customHeight="1">
      <c r="A345" s="289" t="str">
        <f>'Анализ стоимости'!M$52</f>
        <v>Заместитель главы Вышестеблиевского сельского поселения Темрюкского района</v>
      </c>
      <c r="B345" s="290"/>
      <c r="C345" s="264"/>
      <c r="D345" s="265" t="str">
        <f>CONCATENATE("_____________________ ",'Анализ стоимости'!M$53)</f>
        <v>_____________________ Н.Д.Шевченко</v>
      </c>
      <c r="G345" s="267" t="str">
        <f>A345</f>
        <v>Заместитель главы Вышестеблиевского сельского поселения Темрюкского района</v>
      </c>
      <c r="J345" s="136" t="str">
        <f>IF($F$12=0,"",1)</f>
        <v/>
      </c>
    </row>
    <row r="346" spans="1:10" s="237" customFormat="1" ht="5.25">
      <c r="A346" s="269"/>
      <c r="B346" s="269"/>
      <c r="C346" s="269"/>
      <c r="D346" s="270"/>
      <c r="G346" s="238"/>
      <c r="H346" s="238"/>
      <c r="I346" s="273"/>
      <c r="J346" s="277" t="str">
        <f>IF($F$12=0,"",1)</f>
        <v/>
      </c>
    </row>
    <row r="347" spans="1:10">
      <c r="A347" s="291">
        <f ca="1">TODAY()</f>
        <v>41941</v>
      </c>
      <c r="B347" s="291"/>
      <c r="C347" s="224"/>
      <c r="D347" s="224"/>
      <c r="J347" s="136" t="str">
        <f>IF($F$18=0,"",1)</f>
        <v/>
      </c>
    </row>
    <row r="348" spans="1:10">
      <c r="A348" s="295" t="s">
        <v>179</v>
      </c>
      <c r="B348" s="295"/>
      <c r="C348" s="295"/>
      <c r="D348" s="295"/>
      <c r="G348" s="226"/>
      <c r="H348" s="226"/>
      <c r="J348" s="136" t="str">
        <f t="shared" ref="J348:J365" si="85">IF($F$19=0,"",1)</f>
        <v/>
      </c>
    </row>
    <row r="349" spans="1:10">
      <c r="A349" s="296" t="e">
        <f>CONCATENATE("Наименование объекта: ",VLOOKUP($F$19,'Анализ стоимости'!$A$4:$DK$59,11+2,0))</f>
        <v>#N/A</v>
      </c>
      <c r="B349" s="296"/>
      <c r="C349" s="296"/>
      <c r="D349" s="296"/>
      <c r="I349" s="276" t="e">
        <f>A349</f>
        <v>#N/A</v>
      </c>
      <c r="J349" s="136" t="str">
        <f t="shared" si="85"/>
        <v/>
      </c>
    </row>
    <row r="350" spans="1:10" s="237" customFormat="1" ht="5.25">
      <c r="A350" s="246"/>
      <c r="B350" s="235"/>
      <c r="C350" s="235"/>
      <c r="D350" s="235"/>
      <c r="G350" s="238"/>
      <c r="H350" s="238"/>
      <c r="I350" s="273"/>
      <c r="J350" s="277" t="str">
        <f t="shared" si="85"/>
        <v/>
      </c>
    </row>
    <row r="351" spans="1:10">
      <c r="A351" s="248" t="s">
        <v>149</v>
      </c>
      <c r="B351" s="241"/>
      <c r="C351" s="241"/>
      <c r="D351" s="241"/>
      <c r="J351" s="136" t="str">
        <f t="shared" si="85"/>
        <v/>
      </c>
    </row>
    <row r="352" spans="1:10">
      <c r="A352" s="297" t="s">
        <v>150</v>
      </c>
      <c r="B352" s="297"/>
      <c r="C352" s="297"/>
      <c r="D352" s="297"/>
      <c r="J352" s="136" t="str">
        <f t="shared" si="85"/>
        <v/>
      </c>
    </row>
    <row r="353" spans="1:10" ht="47.25" customHeight="1">
      <c r="A353" s="249" t="s">
        <v>53</v>
      </c>
      <c r="B353" s="249" t="s">
        <v>87</v>
      </c>
      <c r="C353" s="298" t="e">
        <f>CONCATENATE("Стоимость  согласно сметной документации (руб.) в текущих ценах по состоянию на ",VLOOKUP($F$19,'Анализ стоимости'!$A$4:$BY$59,6+2,0)," г.")</f>
        <v>#N/A</v>
      </c>
      <c r="D353" s="299"/>
      <c r="H353" s="250" t="e">
        <f>C353</f>
        <v>#N/A</v>
      </c>
      <c r="J353" s="136" t="str">
        <f t="shared" si="85"/>
        <v/>
      </c>
    </row>
    <row r="354" spans="1:10">
      <c r="A354" s="252">
        <v>1</v>
      </c>
      <c r="B354" s="253" t="s">
        <v>28</v>
      </c>
      <c r="C354" s="292" t="e">
        <f>VLOOKUP($F$19,'Анализ стоимости'!$A$4:$BY$59,12+2,0)</f>
        <v>#N/A</v>
      </c>
      <c r="D354" s="293"/>
      <c r="J354" s="136" t="str">
        <f t="shared" si="85"/>
        <v/>
      </c>
    </row>
    <row r="355" spans="1:10">
      <c r="A355" s="252">
        <v>2</v>
      </c>
      <c r="B355" s="253" t="s">
        <v>23</v>
      </c>
      <c r="C355" s="292" t="e">
        <f>VLOOKUP($F$19,'Анализ стоимости'!$A$4:$DK$59,13+2,0)</f>
        <v>#N/A</v>
      </c>
      <c r="D355" s="293"/>
      <c r="J355" s="136" t="str">
        <f t="shared" si="85"/>
        <v/>
      </c>
    </row>
    <row r="356" spans="1:10" ht="31.5">
      <c r="A356" s="252">
        <v>3</v>
      </c>
      <c r="B356" s="253" t="s">
        <v>2</v>
      </c>
      <c r="C356" s="292" t="e">
        <f>VLOOKUP($F$19,'Анализ стоимости'!$A$4:$DK$59,14+2,0)</f>
        <v>#N/A</v>
      </c>
      <c r="D356" s="293"/>
      <c r="J356" s="136" t="str">
        <f t="shared" si="85"/>
        <v/>
      </c>
    </row>
    <row r="357" spans="1:10">
      <c r="A357" s="252">
        <v>4</v>
      </c>
      <c r="B357" s="253" t="s">
        <v>24</v>
      </c>
      <c r="C357" s="292" t="e">
        <f>VLOOKUP($F$19,'Анализ стоимости'!$A$4:$DK$59,15+2,0)</f>
        <v>#N/A</v>
      </c>
      <c r="D357" s="293"/>
      <c r="J357" s="136" t="str">
        <f t="shared" si="85"/>
        <v/>
      </c>
    </row>
    <row r="358" spans="1:10">
      <c r="A358" s="252">
        <v>5</v>
      </c>
      <c r="B358" s="253" t="s">
        <v>5</v>
      </c>
      <c r="C358" s="292" t="e">
        <f>VLOOKUP($F$19,'Анализ стоимости'!$A$4:$DK$59,16+2,0)</f>
        <v>#N/A</v>
      </c>
      <c r="D358" s="293"/>
      <c r="J358" s="136" t="str">
        <f t="shared" si="85"/>
        <v/>
      </c>
    </row>
    <row r="359" spans="1:10">
      <c r="A359" s="252">
        <v>6</v>
      </c>
      <c r="B359" s="253" t="s">
        <v>10</v>
      </c>
      <c r="C359" s="292" t="e">
        <f>VLOOKUP($F$19,'Анализ стоимости'!$A$4:$DK$59,20+2,0)</f>
        <v>#N/A</v>
      </c>
      <c r="D359" s="293"/>
      <c r="J359" s="136" t="str">
        <f t="shared" si="85"/>
        <v/>
      </c>
    </row>
    <row r="360" spans="1:10">
      <c r="A360" s="252">
        <v>7</v>
      </c>
      <c r="B360" s="253" t="s">
        <v>79</v>
      </c>
      <c r="C360" s="292" t="e">
        <f>VLOOKUP($F$19,'Анализ стоимости'!$A$4:$DK$59,21+2,0)+VLOOKUP($F$19,'Анализ стоимости'!$A$4:$DK$59,23+2,0)+VLOOKUP($F$19,'Анализ стоимости'!$A$4:$DK$59,24+2,0)+VLOOKUP($F$19,'Анализ стоимости'!$A$4:$DK$59,25+2,0)+VLOOKUP($F$19,'Анализ стоимости'!$A$4:$DK$59,26+2,0)+VLOOKUP($F$19,'Анализ стоимости'!$A$4:$DK$59,27+2,0)+VLOOKUP($F$19,'Анализ стоимости'!$A$4:$DK$59,28+2,0)+VLOOKUP($F$19,'Анализ стоимости'!$A$4:$DK$59,29+2,0)</f>
        <v>#N/A</v>
      </c>
      <c r="D360" s="293"/>
      <c r="J360" s="136" t="str">
        <f t="shared" si="85"/>
        <v/>
      </c>
    </row>
    <row r="361" spans="1:10">
      <c r="A361" s="252">
        <v>8</v>
      </c>
      <c r="B361" s="253" t="s">
        <v>46</v>
      </c>
      <c r="C361" s="292" t="e">
        <f>VLOOKUP($F$19,'Анализ стоимости'!$A$4:$DK$59,34+2,0)</f>
        <v>#N/A</v>
      </c>
      <c r="D361" s="293"/>
      <c r="J361" s="136" t="str">
        <f t="shared" si="85"/>
        <v/>
      </c>
    </row>
    <row r="362" spans="1:10">
      <c r="A362" s="252">
        <v>9</v>
      </c>
      <c r="B362" s="253" t="s">
        <v>169</v>
      </c>
      <c r="C362" s="292" t="e">
        <f>SUM(C354:D361)</f>
        <v>#N/A</v>
      </c>
      <c r="D362" s="293"/>
      <c r="J362" s="136" t="str">
        <f t="shared" si="85"/>
        <v/>
      </c>
    </row>
    <row r="363" spans="1:10">
      <c r="A363" s="294" t="s">
        <v>161</v>
      </c>
      <c r="B363" s="294"/>
      <c r="C363" s="294"/>
      <c r="D363" s="294"/>
      <c r="J363" s="136" t="str">
        <f t="shared" si="85"/>
        <v/>
      </c>
    </row>
    <row r="364" spans="1:10" ht="31.5">
      <c r="A364" s="255" t="s">
        <v>53</v>
      </c>
      <c r="B364" s="249" t="s">
        <v>15</v>
      </c>
      <c r="C364" s="249" t="s">
        <v>152</v>
      </c>
      <c r="D364" s="249" t="s">
        <v>88</v>
      </c>
      <c r="J364" s="136" t="str">
        <f t="shared" si="85"/>
        <v/>
      </c>
    </row>
    <row r="365" spans="1:10">
      <c r="A365" s="252">
        <v>10</v>
      </c>
      <c r="B365" s="252" t="e">
        <f>VLOOKUP((VLOOKUP($F$19,'Анализ стоимости'!$A$4:$BY$59,12,0)),'Расчет инфляции'!$BD$5:$BE$22,2,0)</f>
        <v>#N/A</v>
      </c>
      <c r="C365" s="252"/>
      <c r="D365" s="253"/>
      <c r="J365" s="136" t="str">
        <f t="shared" si="85"/>
        <v/>
      </c>
    </row>
    <row r="366" spans="1:10">
      <c r="A366" s="252" t="e">
        <f>IF(D366=0,0,A365+1)</f>
        <v>#N/A</v>
      </c>
      <c r="B366" s="253" t="e">
        <f>CONCATENATE("2014 г. (",CHOOSE(VLOOKUP(F$19,'Анализ стоимости'!$A$4:$DK$90,68,0),"Январь","Февраль","Март","Апрель","Май","Июнь","Июль","Август","Сентябрь","Октябрь","Ноябрь","Декабрь")," - ",CHOOSE(VLOOKUP(F$19,'Анализ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366" s="252" t="s">
        <v>153</v>
      </c>
      <c r="D366" s="278" t="e">
        <f>IF(D368=0,0,VLOOKUP($F$19,'Анализ стоимости'!$A$4:$DK$59,74,0)*100+100)</f>
        <v>#N/A</v>
      </c>
      <c r="J366" s="136" t="e">
        <f>IF(D366=0,"",1)</f>
        <v>#N/A</v>
      </c>
    </row>
    <row r="367" spans="1:10">
      <c r="A367" s="252" t="e">
        <f>IF(D367=0,0,IF(D366=0,A365+1,A366+1))</f>
        <v>#N/A</v>
      </c>
      <c r="B367" s="253" t="e">
        <f>CONCATENATE("2015 г. (",CHOOSE(VLOOKUP(F$19,'Анализ стоимости'!$A$4:$DK$90,70,0),"Январь","Февраль","Март","Апрель","Май","Июнь","Июль","Август","Сентябрь","Октябрь","Ноябрь","Декабрь")," - ",CHOOSE(VLOOKUP(F$19,'Анализ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367" s="252" t="s">
        <v>153</v>
      </c>
      <c r="D367" s="278" t="e">
        <f>IF(D369=0,0,VLOOKUP($F$19,'Анализ стоимости'!$A$4:$DK$59,75,0)*100+100)</f>
        <v>#N/A</v>
      </c>
      <c r="J367" s="136" t="e">
        <f t="shared" ref="J367:J369" si="86">IF(D367=0,"",1)</f>
        <v>#N/A</v>
      </c>
    </row>
    <row r="368" spans="1:10">
      <c r="A368" s="252" t="e">
        <f>IF(D368=0,0,IF(D367=0,A366+1,A367+1))</f>
        <v>#N/A</v>
      </c>
      <c r="B368" s="253" t="s">
        <v>154</v>
      </c>
      <c r="C368" s="252" t="s">
        <v>156</v>
      </c>
      <c r="D368" s="257" t="e">
        <f>VLOOKUP($F$19,'Анализ стоимости'!$A$4:$DK$59,51,0)</f>
        <v>#N/A</v>
      </c>
      <c r="J368" s="136" t="e">
        <f t="shared" si="86"/>
        <v>#N/A</v>
      </c>
    </row>
    <row r="369" spans="1:10">
      <c r="A369" s="252" t="e">
        <f>IF(D369=0,0,IF(D368=0,A367+1,A368+1))</f>
        <v>#N/A</v>
      </c>
      <c r="B369" s="253" t="s">
        <v>155</v>
      </c>
      <c r="C369" s="252" t="s">
        <v>156</v>
      </c>
      <c r="D369" s="257" t="e">
        <f>VLOOKUP($F$19,'Анализ стоимости'!$A$4:$DK$59,61,0)</f>
        <v>#N/A</v>
      </c>
      <c r="J369" s="136" t="e">
        <f t="shared" si="86"/>
        <v>#N/A</v>
      </c>
    </row>
    <row r="370" spans="1:10">
      <c r="A370" s="294" t="s">
        <v>157</v>
      </c>
      <c r="B370" s="294"/>
      <c r="C370" s="294"/>
      <c r="D370" s="294"/>
      <c r="J370" s="136" t="str">
        <f>IF($F$19=0,"",1)</f>
        <v/>
      </c>
    </row>
    <row r="371" spans="1:10" ht="31.5">
      <c r="A371" s="252" t="e">
        <f>IF(D371=0,0,IF(D369=0,IF(D368=0,A365+1,A368+1),A369+1))</f>
        <v>#N/A</v>
      </c>
      <c r="B371" s="258" t="s">
        <v>206</v>
      </c>
      <c r="C371" s="252" t="s">
        <v>156</v>
      </c>
      <c r="D371" s="257" t="e">
        <f>SUM(VLOOKUP($F$19,'Анализ стоимости'!$A$4:$DK$59,46,0),D368)</f>
        <v>#N/A</v>
      </c>
      <c r="E371" s="136"/>
      <c r="J371" s="136" t="e">
        <f t="shared" ref="J371:J377" si="87">IF(D371=0,"",1)</f>
        <v>#N/A</v>
      </c>
    </row>
    <row r="372" spans="1:10">
      <c r="A372" s="252" t="e">
        <f>IF(D372=0,0,A371+1)</f>
        <v>#N/A</v>
      </c>
      <c r="B372" s="258" t="s">
        <v>159</v>
      </c>
      <c r="C372" s="252" t="s">
        <v>156</v>
      </c>
      <c r="D372" s="257" t="e">
        <f>VLOOKUP($F$19,'Анализ стоимости'!$A$4:$DK$59,56,0)</f>
        <v>#N/A</v>
      </c>
      <c r="E372" s="136"/>
      <c r="J372" s="136" t="e">
        <f t="shared" si="87"/>
        <v>#N/A</v>
      </c>
    </row>
    <row r="373" spans="1:10">
      <c r="A373" s="252" t="e">
        <f>IF(D373=0,0,A372+1)</f>
        <v>#N/A</v>
      </c>
      <c r="B373" s="258" t="s">
        <v>205</v>
      </c>
      <c r="C373" s="252" t="s">
        <v>156</v>
      </c>
      <c r="D373" s="257" t="e">
        <f>SUM(D371:D372)</f>
        <v>#N/A</v>
      </c>
      <c r="E373" s="254" t="e">
        <f>VLOOKUP($F$19,'Анализ стоимости'!$A$4:$DK$59,76,0)</f>
        <v>#N/A</v>
      </c>
      <c r="J373" s="136" t="e">
        <f t="shared" si="87"/>
        <v>#N/A</v>
      </c>
    </row>
    <row r="374" spans="1:10" ht="31.5">
      <c r="A374" s="252" t="e">
        <f>IF(D374=0,0,IF(D373=0,IF(D369=0,A365+1,A369+1),A373+1))</f>
        <v>#N/A</v>
      </c>
      <c r="B374" s="258" t="s">
        <v>204</v>
      </c>
      <c r="C374" s="252" t="s">
        <v>156</v>
      </c>
      <c r="D374" s="257" t="e">
        <f>VLOOKUP($F$19,'Анализ стоимости'!$A$4:$DK$59,41,0)-VLOOKUP($F$19,'Анализ стоимости'!$A$4:$DK$59,46,0)+D369</f>
        <v>#N/A</v>
      </c>
      <c r="J374" s="136" t="e">
        <f t="shared" si="87"/>
        <v>#N/A</v>
      </c>
    </row>
    <row r="375" spans="1:10">
      <c r="A375" s="252" t="e">
        <f>IF(D375=0,0,A374+1)</f>
        <v>#N/A</v>
      </c>
      <c r="B375" s="258" t="s">
        <v>159</v>
      </c>
      <c r="C375" s="252" t="s">
        <v>156</v>
      </c>
      <c r="D375" s="257" t="e">
        <f>VLOOKUP($F$19,'Анализ стоимости'!$A$4:$DK$59,66,0)</f>
        <v>#N/A</v>
      </c>
      <c r="J375" s="136" t="e">
        <f t="shared" si="87"/>
        <v>#N/A</v>
      </c>
    </row>
    <row r="376" spans="1:10">
      <c r="A376" s="252" t="e">
        <f>IF(D376=0,0,A375+1)</f>
        <v>#N/A</v>
      </c>
      <c r="B376" s="258" t="s">
        <v>203</v>
      </c>
      <c r="C376" s="252" t="s">
        <v>156</v>
      </c>
      <c r="D376" s="257" t="e">
        <f>SUM(D374:D375)</f>
        <v>#N/A</v>
      </c>
      <c r="E376" s="254" t="e">
        <f>VLOOKUP($F$19,'Анализ стоимости'!$A$4:$DK$59,77,0)</f>
        <v>#N/A</v>
      </c>
      <c r="J376" s="136" t="e">
        <f t="shared" si="87"/>
        <v>#N/A</v>
      </c>
    </row>
    <row r="377" spans="1:10">
      <c r="A377" s="252" t="e">
        <f>IF(D377=0,0,A376+1)</f>
        <v>#N/A</v>
      </c>
      <c r="B377" s="258" t="s">
        <v>158</v>
      </c>
      <c r="C377" s="252" t="s">
        <v>156</v>
      </c>
      <c r="D377" s="257" t="e">
        <f>IF(OR(D373=0,D376=0),0,D376+D373)</f>
        <v>#N/A</v>
      </c>
      <c r="E377" s="254" t="e">
        <f>VLOOKUP($F$19,'Анализ стоимости'!$A$4:$DK$59,67,0)</f>
        <v>#N/A</v>
      </c>
      <c r="J377" s="136" t="e">
        <f t="shared" si="87"/>
        <v>#N/A</v>
      </c>
    </row>
    <row r="378" spans="1:10">
      <c r="A378" s="262"/>
      <c r="B378" s="262"/>
      <c r="C378" s="262"/>
      <c r="D378" s="263"/>
      <c r="J378" s="136" t="str">
        <f>IF($F$19=0,"",1)</f>
        <v/>
      </c>
    </row>
    <row r="379" spans="1:10" ht="31.5" customHeight="1">
      <c r="A379" s="289" t="str">
        <f>'Анализ стоимости'!M$52</f>
        <v>Заместитель главы Вышестеблиевского сельского поселения Темрюкского района</v>
      </c>
      <c r="B379" s="290"/>
      <c r="C379" s="264"/>
      <c r="D379" s="265" t="str">
        <f>CONCATENATE("_____________________ ",'Анализ стоимости'!M$53)</f>
        <v>_____________________ Н.Д.Шевченко</v>
      </c>
      <c r="G379" s="267" t="str">
        <f>A379</f>
        <v>Заместитель главы Вышестеблиевского сельского поселения Темрюкского района</v>
      </c>
      <c r="J379" s="136" t="str">
        <f>IF($F$12=0,"",1)</f>
        <v/>
      </c>
    </row>
    <row r="380" spans="1:10" s="237" customFormat="1" ht="5.25">
      <c r="A380" s="269"/>
      <c r="B380" s="269"/>
      <c r="C380" s="269"/>
      <c r="D380" s="270"/>
      <c r="G380" s="238"/>
      <c r="H380" s="238"/>
      <c r="I380" s="273"/>
      <c r="J380" s="277" t="str">
        <f>IF($F$12=0,"",1)</f>
        <v/>
      </c>
    </row>
    <row r="381" spans="1:10">
      <c r="A381" s="291">
        <f ca="1">TODAY()</f>
        <v>41941</v>
      </c>
      <c r="B381" s="291"/>
      <c r="C381" s="224"/>
      <c r="D381" s="224"/>
      <c r="J381" s="136" t="str">
        <f>IF($F$19=0,"",1)</f>
        <v/>
      </c>
    </row>
    <row r="382" spans="1:10">
      <c r="A382" s="295" t="s">
        <v>180</v>
      </c>
      <c r="B382" s="295"/>
      <c r="C382" s="295"/>
      <c r="D382" s="295"/>
      <c r="G382" s="226"/>
      <c r="H382" s="226"/>
      <c r="J382" s="136" t="str">
        <f t="shared" ref="J382:J399" si="88">IF($F$20=0,"",1)</f>
        <v/>
      </c>
    </row>
    <row r="383" spans="1:10">
      <c r="A383" s="296" t="e">
        <f>CONCATENATE("Наименование объекта: ",VLOOKUP($F$20,'Анализ стоимости'!$A$4:$DK$59,11+2,0))</f>
        <v>#N/A</v>
      </c>
      <c r="B383" s="296"/>
      <c r="C383" s="296"/>
      <c r="D383" s="296"/>
      <c r="I383" s="276" t="e">
        <f>A383</f>
        <v>#N/A</v>
      </c>
      <c r="J383" s="136" t="str">
        <f t="shared" si="88"/>
        <v/>
      </c>
    </row>
    <row r="384" spans="1:10" s="237" customFormat="1" ht="5.25">
      <c r="A384" s="246"/>
      <c r="B384" s="235"/>
      <c r="C384" s="235"/>
      <c r="D384" s="235"/>
      <c r="G384" s="238"/>
      <c r="H384" s="238"/>
      <c r="I384" s="273"/>
      <c r="J384" s="277" t="str">
        <f t="shared" si="88"/>
        <v/>
      </c>
    </row>
    <row r="385" spans="1:10">
      <c r="A385" s="248" t="s">
        <v>149</v>
      </c>
      <c r="B385" s="241"/>
      <c r="C385" s="241"/>
      <c r="D385" s="241"/>
      <c r="J385" s="136" t="str">
        <f t="shared" si="88"/>
        <v/>
      </c>
    </row>
    <row r="386" spans="1:10">
      <c r="A386" s="297" t="s">
        <v>150</v>
      </c>
      <c r="B386" s="297"/>
      <c r="C386" s="297"/>
      <c r="D386" s="297"/>
      <c r="J386" s="136" t="str">
        <f t="shared" si="88"/>
        <v/>
      </c>
    </row>
    <row r="387" spans="1:10" ht="47.25" customHeight="1">
      <c r="A387" s="249" t="s">
        <v>53</v>
      </c>
      <c r="B387" s="249" t="s">
        <v>87</v>
      </c>
      <c r="C387" s="298" t="e">
        <f>CONCATENATE("Стоимость  согласно сметной документации (руб.) в текущих ценах по состоянию на ",VLOOKUP($F$20,'Анализ стоимости'!$A$4:$BY$59,6+2,0)," г.")</f>
        <v>#N/A</v>
      </c>
      <c r="D387" s="299"/>
      <c r="H387" s="250" t="e">
        <f>C387</f>
        <v>#N/A</v>
      </c>
      <c r="J387" s="136" t="str">
        <f t="shared" si="88"/>
        <v/>
      </c>
    </row>
    <row r="388" spans="1:10">
      <c r="A388" s="252">
        <v>1</v>
      </c>
      <c r="B388" s="253" t="s">
        <v>28</v>
      </c>
      <c r="C388" s="292" t="e">
        <f>VLOOKUP($F$20,'Анализ стоимости'!$A$4:$BY$59,12+2,0)</f>
        <v>#N/A</v>
      </c>
      <c r="D388" s="293"/>
      <c r="J388" s="136" t="str">
        <f t="shared" si="88"/>
        <v/>
      </c>
    </row>
    <row r="389" spans="1:10">
      <c r="A389" s="252">
        <v>2</v>
      </c>
      <c r="B389" s="253" t="s">
        <v>23</v>
      </c>
      <c r="C389" s="292" t="e">
        <f>VLOOKUP($F$20,'Анализ стоимости'!$A$4:$DK$59,13+2,0)</f>
        <v>#N/A</v>
      </c>
      <c r="D389" s="293"/>
      <c r="J389" s="136" t="str">
        <f t="shared" si="88"/>
        <v/>
      </c>
    </row>
    <row r="390" spans="1:10" ht="31.5">
      <c r="A390" s="252">
        <v>3</v>
      </c>
      <c r="B390" s="253" t="s">
        <v>2</v>
      </c>
      <c r="C390" s="292" t="e">
        <f>VLOOKUP($F$20,'Анализ стоимости'!$A$4:$DK$59,14+2,0)</f>
        <v>#N/A</v>
      </c>
      <c r="D390" s="293"/>
      <c r="J390" s="136" t="str">
        <f t="shared" si="88"/>
        <v/>
      </c>
    </row>
    <row r="391" spans="1:10">
      <c r="A391" s="252">
        <v>4</v>
      </c>
      <c r="B391" s="253" t="s">
        <v>24</v>
      </c>
      <c r="C391" s="292" t="e">
        <f>VLOOKUP($F$20,'Анализ стоимости'!$A$4:$DK$59,15+2,0)</f>
        <v>#N/A</v>
      </c>
      <c r="D391" s="293"/>
      <c r="J391" s="136" t="str">
        <f t="shared" si="88"/>
        <v/>
      </c>
    </row>
    <row r="392" spans="1:10">
      <c r="A392" s="252">
        <v>5</v>
      </c>
      <c r="B392" s="253" t="s">
        <v>5</v>
      </c>
      <c r="C392" s="292" t="e">
        <f>VLOOKUP($F$20,'Анализ стоимости'!$A$4:$DK$59,16+2,0)</f>
        <v>#N/A</v>
      </c>
      <c r="D392" s="293"/>
      <c r="J392" s="136" t="str">
        <f t="shared" si="88"/>
        <v/>
      </c>
    </row>
    <row r="393" spans="1:10">
      <c r="A393" s="252">
        <v>6</v>
      </c>
      <c r="B393" s="253" t="s">
        <v>10</v>
      </c>
      <c r="C393" s="292" t="e">
        <f>VLOOKUP($F$20,'Анализ стоимости'!$A$4:$DK$59,20+2,0)</f>
        <v>#N/A</v>
      </c>
      <c r="D393" s="293"/>
      <c r="J393" s="136" t="str">
        <f t="shared" si="88"/>
        <v/>
      </c>
    </row>
    <row r="394" spans="1:10">
      <c r="A394" s="252">
        <v>7</v>
      </c>
      <c r="B394" s="253" t="s">
        <v>79</v>
      </c>
      <c r="C394" s="292" t="e">
        <f>VLOOKUP($F$20,'Анализ стоимости'!$A$4:$DK$59,21+2,0)+VLOOKUP($F$20,'Анализ стоимости'!$A$4:$DK$59,23+2,0)+VLOOKUP($F$20,'Анализ стоимости'!$A$4:$DK$59,24+2,0)+VLOOKUP($F$20,'Анализ стоимости'!$A$4:$DK$59,25+2,0)+VLOOKUP($F$20,'Анализ стоимости'!$A$4:$DK$59,26+2,0)+VLOOKUP($F$20,'Анализ стоимости'!$A$4:$DK$59,27+2,0)+VLOOKUP($F$20,'Анализ стоимости'!$A$4:$DK$59,28+2,0)+VLOOKUP($F$20,'Анализ стоимости'!$A$4:$DK$59,29+2,0)</f>
        <v>#N/A</v>
      </c>
      <c r="D394" s="293"/>
      <c r="J394" s="136" t="str">
        <f t="shared" si="88"/>
        <v/>
      </c>
    </row>
    <row r="395" spans="1:10">
      <c r="A395" s="252">
        <v>8</v>
      </c>
      <c r="B395" s="253" t="s">
        <v>46</v>
      </c>
      <c r="C395" s="292" t="e">
        <f>VLOOKUP($F$20,'Анализ стоимости'!$A$4:$DK$59,34+2,0)</f>
        <v>#N/A</v>
      </c>
      <c r="D395" s="293"/>
      <c r="J395" s="136" t="str">
        <f t="shared" si="88"/>
        <v/>
      </c>
    </row>
    <row r="396" spans="1:10">
      <c r="A396" s="252">
        <v>9</v>
      </c>
      <c r="B396" s="253" t="s">
        <v>169</v>
      </c>
      <c r="C396" s="292" t="e">
        <f>SUM(C388:D395)</f>
        <v>#N/A</v>
      </c>
      <c r="D396" s="293"/>
      <c r="J396" s="136" t="str">
        <f t="shared" si="88"/>
        <v/>
      </c>
    </row>
    <row r="397" spans="1:10">
      <c r="A397" s="294" t="s">
        <v>161</v>
      </c>
      <c r="B397" s="294"/>
      <c r="C397" s="294"/>
      <c r="D397" s="294"/>
      <c r="J397" s="136" t="str">
        <f t="shared" si="88"/>
        <v/>
      </c>
    </row>
    <row r="398" spans="1:10" ht="31.5">
      <c r="A398" s="255" t="s">
        <v>53</v>
      </c>
      <c r="B398" s="249" t="s">
        <v>15</v>
      </c>
      <c r="C398" s="249" t="s">
        <v>152</v>
      </c>
      <c r="D398" s="249" t="s">
        <v>88</v>
      </c>
      <c r="J398" s="136" t="str">
        <f t="shared" si="88"/>
        <v/>
      </c>
    </row>
    <row r="399" spans="1:10">
      <c r="A399" s="252">
        <v>10</v>
      </c>
      <c r="B399" s="252" t="e">
        <f>VLOOKUP((VLOOKUP($F$20,'Анализ стоимости'!$A$4:$BY$59,12,0)),'Расчет инфляции'!$BD$5:$BE$22,2,0)</f>
        <v>#N/A</v>
      </c>
      <c r="C399" s="252"/>
      <c r="D399" s="253"/>
      <c r="J399" s="136" t="str">
        <f t="shared" si="88"/>
        <v/>
      </c>
    </row>
    <row r="400" spans="1:10">
      <c r="A400" s="252" t="e">
        <f>IF(D400=0,0,A399+1)</f>
        <v>#N/A</v>
      </c>
      <c r="B400" s="253" t="e">
        <f>CONCATENATE("2014 г. (",CHOOSE(VLOOKUP(F$20,'Анализ стоимости'!$A$4:$DK$90,68,0),"Январь","Февраль","Март","Апрель","Май","Июнь","Июль","Август","Сентябрь","Октябрь","Ноябрь","Декабрь")," - ",CHOOSE(VLOOKUP(F$20,'Анализ стоимости'!$A$4:$DK$90,69,0),"Январь","Февраль","Март","Апрель","Май","Июнь","Июль","Август","Сентябрь","Октябрь","Ноябрь","Декабрь"),")")</f>
        <v>#N/A</v>
      </c>
      <c r="C400" s="252" t="s">
        <v>153</v>
      </c>
      <c r="D400" s="278" t="e">
        <f>IF(D402=0,0,VLOOKUP($F$20,'Анализ стоимости'!$A$4:$DK$59,74,0)*100+100)</f>
        <v>#N/A</v>
      </c>
      <c r="J400" s="136" t="e">
        <f>IF(D400=0,"",1)</f>
        <v>#N/A</v>
      </c>
    </row>
    <row r="401" spans="1:10">
      <c r="A401" s="252" t="e">
        <f>IF(D401=0,0,IF(D400=0,A399+1,A400+1))</f>
        <v>#N/A</v>
      </c>
      <c r="B401" s="253" t="e">
        <f>CONCATENATE("2015 г. (",CHOOSE(VLOOKUP(F$20,'Анализ стоимости'!$A$4:$DK$90,70,0),"Январь","Февраль","Март","Апрель","Май","Июнь","Июль","Август","Сентябрь","Октябрь","Ноябрь","Декабрь")," - ",CHOOSE(VLOOKUP(F$20,'Анализ стоимости'!$A$4:$DK$90,71,0),"Январь","Февраль","Март","Апрель","Май","Июнь","Июль","Август","Сентябрь","Октябрь","Ноябрь","Декабрь"),")")</f>
        <v>#N/A</v>
      </c>
      <c r="C401" s="252" t="s">
        <v>153</v>
      </c>
      <c r="D401" s="278" t="e">
        <f>IF(D403=0,0,VLOOKUP($F$20,'Анализ стоимости'!$A$4:$DK$59,75,0)*100+100)</f>
        <v>#N/A</v>
      </c>
      <c r="J401" s="136" t="e">
        <f t="shared" ref="J401:J403" si="89">IF(D401=0,"",1)</f>
        <v>#N/A</v>
      </c>
    </row>
    <row r="402" spans="1:10">
      <c r="A402" s="252" t="e">
        <f>IF(D402=0,0,IF(D401=0,A400+1,A401+1))</f>
        <v>#N/A</v>
      </c>
      <c r="B402" s="253" t="s">
        <v>154</v>
      </c>
      <c r="C402" s="252" t="s">
        <v>156</v>
      </c>
      <c r="D402" s="257" t="e">
        <f>VLOOKUP($F$20,'Анализ стоимости'!$A$4:$DK$59,51,0)</f>
        <v>#N/A</v>
      </c>
      <c r="J402" s="136" t="e">
        <f t="shared" si="89"/>
        <v>#N/A</v>
      </c>
    </row>
    <row r="403" spans="1:10">
      <c r="A403" s="252" t="e">
        <f>IF(D403=0,0,IF(D402=0,A401+1,A402+1))</f>
        <v>#N/A</v>
      </c>
      <c r="B403" s="253" t="s">
        <v>155</v>
      </c>
      <c r="C403" s="252" t="s">
        <v>156</v>
      </c>
      <c r="D403" s="257" t="e">
        <f>VLOOKUP($F$20,'Анализ стоимости'!$A$4:$DK$59,61,0)</f>
        <v>#N/A</v>
      </c>
      <c r="J403" s="136" t="e">
        <f t="shared" si="89"/>
        <v>#N/A</v>
      </c>
    </row>
    <row r="404" spans="1:10">
      <c r="A404" s="294" t="s">
        <v>157</v>
      </c>
      <c r="B404" s="294"/>
      <c r="C404" s="294"/>
      <c r="D404" s="294"/>
      <c r="J404" s="136" t="str">
        <f>IF($F$20=0,"",1)</f>
        <v/>
      </c>
    </row>
    <row r="405" spans="1:10" ht="31.5">
      <c r="A405" s="252" t="e">
        <f>IF(D405=0,0,IF(D403=0,IF(D402=0,A399+1,A402+1),A403+1))</f>
        <v>#N/A</v>
      </c>
      <c r="B405" s="258" t="s">
        <v>206</v>
      </c>
      <c r="C405" s="252" t="s">
        <v>156</v>
      </c>
      <c r="D405" s="257" t="e">
        <f>SUM(VLOOKUP($F$20,'Анализ стоимости'!$A$4:$DK$59,46,0),D402)</f>
        <v>#N/A</v>
      </c>
      <c r="E405" s="136"/>
      <c r="J405" s="136" t="e">
        <f t="shared" ref="J405:J411" si="90">IF(D405=0,"",1)</f>
        <v>#N/A</v>
      </c>
    </row>
    <row r="406" spans="1:10">
      <c r="A406" s="252" t="e">
        <f>IF(D406=0,0,A405+1)</f>
        <v>#N/A</v>
      </c>
      <c r="B406" s="258" t="s">
        <v>159</v>
      </c>
      <c r="C406" s="252" t="s">
        <v>156</v>
      </c>
      <c r="D406" s="257" t="e">
        <f>VLOOKUP($F$20,'Анализ стоимости'!$A$4:$DK$59,56,0)</f>
        <v>#N/A</v>
      </c>
      <c r="E406" s="136"/>
      <c r="J406" s="136" t="e">
        <f t="shared" si="90"/>
        <v>#N/A</v>
      </c>
    </row>
    <row r="407" spans="1:10">
      <c r="A407" s="252" t="e">
        <f>IF(D407=0,0,A406+1)</f>
        <v>#N/A</v>
      </c>
      <c r="B407" s="258" t="s">
        <v>205</v>
      </c>
      <c r="C407" s="252" t="s">
        <v>156</v>
      </c>
      <c r="D407" s="257" t="e">
        <f>SUM(D405:D406)</f>
        <v>#N/A</v>
      </c>
      <c r="E407" s="254" t="e">
        <f>VLOOKUP($F$20,'Анализ стоимости'!$A$4:$DK$59,76,0)</f>
        <v>#N/A</v>
      </c>
      <c r="J407" s="136" t="e">
        <f t="shared" si="90"/>
        <v>#N/A</v>
      </c>
    </row>
    <row r="408" spans="1:10" ht="31.5">
      <c r="A408" s="252" t="e">
        <f>IF(D408=0,0,IF(D407=0,IF(D403=0,A399+1,A403+1),A407+1))</f>
        <v>#N/A</v>
      </c>
      <c r="B408" s="258" t="s">
        <v>204</v>
      </c>
      <c r="C408" s="252" t="s">
        <v>156</v>
      </c>
      <c r="D408" s="257" t="e">
        <f>VLOOKUP($F$20,'Анализ стоимости'!$A$4:$DK$59,41,0)-VLOOKUP($F$20,'Анализ стоимости'!$A$4:$DK$59,46,0)+D403</f>
        <v>#N/A</v>
      </c>
      <c r="J408" s="136" t="e">
        <f t="shared" si="90"/>
        <v>#N/A</v>
      </c>
    </row>
    <row r="409" spans="1:10">
      <c r="A409" s="252" t="e">
        <f>IF(D409=0,0,A408+1)</f>
        <v>#N/A</v>
      </c>
      <c r="B409" s="258" t="s">
        <v>159</v>
      </c>
      <c r="C409" s="252" t="s">
        <v>156</v>
      </c>
      <c r="D409" s="257" t="e">
        <f>VLOOKUP($F$20,'Анализ стоимости'!$A$4:$DK$59,66,0)</f>
        <v>#N/A</v>
      </c>
      <c r="J409" s="136" t="e">
        <f t="shared" si="90"/>
        <v>#N/A</v>
      </c>
    </row>
    <row r="410" spans="1:10">
      <c r="A410" s="252" t="e">
        <f>IF(D410=0,0,A409+1)</f>
        <v>#N/A</v>
      </c>
      <c r="B410" s="258" t="s">
        <v>203</v>
      </c>
      <c r="C410" s="252" t="s">
        <v>156</v>
      </c>
      <c r="D410" s="257" t="e">
        <f>SUM(D408:D409)</f>
        <v>#N/A</v>
      </c>
      <c r="E410" s="254" t="e">
        <f>VLOOKUP($F$20,'Анализ стоимости'!$A$4:$DK$59,77,0)</f>
        <v>#N/A</v>
      </c>
      <c r="J410" s="136" t="e">
        <f t="shared" si="90"/>
        <v>#N/A</v>
      </c>
    </row>
    <row r="411" spans="1:10">
      <c r="A411" s="252" t="e">
        <f>IF(D411=0,0,A410+1)</f>
        <v>#N/A</v>
      </c>
      <c r="B411" s="258" t="s">
        <v>158</v>
      </c>
      <c r="C411" s="252" t="s">
        <v>156</v>
      </c>
      <c r="D411" s="257" t="e">
        <f>IF(OR(D407=0,D410=0),0,D410+D407)</f>
        <v>#N/A</v>
      </c>
      <c r="E411" s="254" t="e">
        <f>VLOOKUP($F$20,'Анализ стоимости'!$A$4:$DK$59,67,0)</f>
        <v>#N/A</v>
      </c>
      <c r="J411" s="136" t="e">
        <f t="shared" si="90"/>
        <v>#N/A</v>
      </c>
    </row>
    <row r="412" spans="1:10">
      <c r="A412" s="262"/>
      <c r="B412" s="262"/>
      <c r="C412" s="262"/>
      <c r="D412" s="263"/>
      <c r="J412" s="136" t="str">
        <f>IF($F$20=0,"",1)</f>
        <v/>
      </c>
    </row>
    <row r="413" spans="1:10" ht="31.5" customHeight="1">
      <c r="A413" s="289" t="str">
        <f>'Анализ стоимости'!M$52</f>
        <v>Заместитель главы Вышестеблиевского сельского поселения Темрюкского района</v>
      </c>
      <c r="B413" s="290"/>
      <c r="C413" s="264"/>
      <c r="D413" s="265" t="str">
        <f>CONCATENATE("_____________________ ",'Анализ стоимости'!M$53)</f>
        <v>_____________________ Н.Д.Шевченко</v>
      </c>
      <c r="G413" s="267" t="str">
        <f>A413</f>
        <v>Заместитель главы Вышестеблиевского сельского поселения Темрюкского района</v>
      </c>
      <c r="J413" s="136" t="str">
        <f>IF($F$12=0,"",1)</f>
        <v/>
      </c>
    </row>
    <row r="414" spans="1:10" s="237" customFormat="1" ht="5.25">
      <c r="A414" s="269"/>
      <c r="B414" s="269"/>
      <c r="C414" s="269"/>
      <c r="D414" s="270"/>
      <c r="G414" s="238"/>
      <c r="H414" s="238"/>
      <c r="I414" s="273"/>
      <c r="J414" s="277" t="str">
        <f>IF($F$12=0,"",1)</f>
        <v/>
      </c>
    </row>
    <row r="415" spans="1:10">
      <c r="A415" s="291">
        <f ca="1">TODAY()</f>
        <v>41941</v>
      </c>
      <c r="B415" s="291"/>
      <c r="C415" s="224"/>
      <c r="D415" s="224"/>
      <c r="J415" s="136" t="str">
        <f>IF($F$20=0,"",1)</f>
        <v/>
      </c>
    </row>
    <row r="416" spans="1:10">
      <c r="A416" s="295" t="s">
        <v>181</v>
      </c>
      <c r="B416" s="295"/>
      <c r="C416" s="295"/>
      <c r="D416" s="295"/>
      <c r="G416" s="226"/>
      <c r="H416" s="226"/>
      <c r="J416" s="136" t="str">
        <f t="shared" ref="J416:J433" si="91">IF($F$21=0,"",1)</f>
        <v/>
      </c>
    </row>
    <row r="417" spans="1:10">
      <c r="A417" s="296" t="e">
        <f>CONCATENATE("Наименование объекта: ",VLOOKUP($F$21,'Анализ стоимости'!$A$4:$DK$59,11+2,0))</f>
        <v>#N/A</v>
      </c>
      <c r="B417" s="296"/>
      <c r="C417" s="296"/>
      <c r="D417" s="296"/>
      <c r="I417" s="276" t="e">
        <f>A417</f>
        <v>#N/A</v>
      </c>
      <c r="J417" s="136" t="str">
        <f t="shared" si="91"/>
        <v/>
      </c>
    </row>
    <row r="418" spans="1:10" s="237" customFormat="1" ht="5.25">
      <c r="A418" s="246"/>
      <c r="B418" s="235"/>
      <c r="C418" s="235"/>
      <c r="D418" s="235"/>
      <c r="G418" s="238"/>
      <c r="H418" s="238"/>
      <c r="I418" s="273"/>
      <c r="J418" s="277" t="str">
        <f t="shared" si="91"/>
        <v/>
      </c>
    </row>
    <row r="419" spans="1:10">
      <c r="A419" s="248" t="s">
        <v>149</v>
      </c>
      <c r="B419" s="241"/>
      <c r="C419" s="241"/>
      <c r="D419" s="241"/>
      <c r="J419" s="136" t="str">
        <f t="shared" si="91"/>
        <v/>
      </c>
    </row>
    <row r="420" spans="1:10">
      <c r="A420" s="297" t="s">
        <v>150</v>
      </c>
      <c r="B420" s="297"/>
      <c r="C420" s="297"/>
      <c r="D420" s="297"/>
      <c r="J420" s="136" t="str">
        <f t="shared" si="91"/>
        <v/>
      </c>
    </row>
    <row r="421" spans="1:10" ht="47.25" customHeight="1">
      <c r="A421" s="249" t="s">
        <v>53</v>
      </c>
      <c r="B421" s="249" t="s">
        <v>87</v>
      </c>
      <c r="C421" s="298" t="e">
        <f>CONCATENATE("Стоимость  согласно сметной документации (руб.) в текущих ценах по состоянию на ",VLOOKUP($F$21,'Анализ стоимости'!$A$4:$BY$59,6+2,0)," г.")</f>
        <v>#N/A</v>
      </c>
      <c r="D421" s="299"/>
      <c r="H421" s="250" t="e">
        <f>C421</f>
        <v>#N/A</v>
      </c>
      <c r="J421" s="136" t="str">
        <f t="shared" si="91"/>
        <v/>
      </c>
    </row>
    <row r="422" spans="1:10">
      <c r="A422" s="252">
        <v>1</v>
      </c>
      <c r="B422" s="253" t="s">
        <v>28</v>
      </c>
      <c r="C422" s="292" t="e">
        <f>VLOOKUP($F$21,'Анализ стоимости'!$A$4:$BY$59,12+2,0)</f>
        <v>#N/A</v>
      </c>
      <c r="D422" s="293"/>
      <c r="J422" s="136" t="str">
        <f t="shared" si="91"/>
        <v/>
      </c>
    </row>
    <row r="423" spans="1:10">
      <c r="A423" s="252">
        <v>2</v>
      </c>
      <c r="B423" s="253" t="s">
        <v>23</v>
      </c>
      <c r="C423" s="292" t="e">
        <f>VLOOKUP($F$21,'Анализ стоимости'!$A$4:$DK$59,13+2,0)</f>
        <v>#N/A</v>
      </c>
      <c r="D423" s="293"/>
      <c r="J423" s="136" t="str">
        <f t="shared" si="91"/>
        <v/>
      </c>
    </row>
    <row r="424" spans="1:10" ht="31.5">
      <c r="A424" s="252">
        <v>3</v>
      </c>
      <c r="B424" s="253" t="s">
        <v>2</v>
      </c>
      <c r="C424" s="292" t="e">
        <f>VLOOKUP($F$21,'Анализ стоимости'!$A$4:$DK$59,14+2,0)</f>
        <v>#N/A</v>
      </c>
      <c r="D424" s="293"/>
      <c r="J424" s="136" t="str">
        <f t="shared" si="91"/>
        <v/>
      </c>
    </row>
    <row r="425" spans="1:10">
      <c r="A425" s="252">
        <v>4</v>
      </c>
      <c r="B425" s="253" t="s">
        <v>24</v>
      </c>
      <c r="C425" s="292" t="e">
        <f>VLOOKUP($F$21,'Анализ стоимости'!$A$4:$DK$59,15+2,0)</f>
        <v>#N/A</v>
      </c>
      <c r="D425" s="293"/>
      <c r="J425" s="136" t="str">
        <f t="shared" si="91"/>
        <v/>
      </c>
    </row>
    <row r="426" spans="1:10">
      <c r="A426" s="252">
        <v>5</v>
      </c>
      <c r="B426" s="253" t="s">
        <v>5</v>
      </c>
      <c r="C426" s="292" t="e">
        <f>VLOOKUP($F$21,'Анализ стоимости'!$A$4:$DK$59,16+2,0)</f>
        <v>#N/A</v>
      </c>
      <c r="D426" s="293"/>
      <c r="J426" s="136" t="str">
        <f t="shared" si="91"/>
        <v/>
      </c>
    </row>
    <row r="427" spans="1:10">
      <c r="A427" s="252">
        <v>6</v>
      </c>
      <c r="B427" s="253" t="s">
        <v>10</v>
      </c>
      <c r="C427" s="292" t="e">
        <f>VLOOKUP($F$21,'Анализ стоимости'!$A$4:$DK$59,20+2,0)</f>
        <v>#N/A</v>
      </c>
      <c r="D427" s="293"/>
      <c r="J427" s="136" t="str">
        <f t="shared" si="91"/>
        <v/>
      </c>
    </row>
    <row r="428" spans="1:10">
      <c r="A428" s="252">
        <v>7</v>
      </c>
      <c r="B428" s="253" t="s">
        <v>79</v>
      </c>
      <c r="C428" s="292" t="e">
        <f>VLOOKUP($F$21,'Анализ стоимости'!$A$4:$DK$59,21+2,0)+VLOOKUP($F$21,'Анализ стоимости'!$A$4:$DK$59,23+2,0)+VLOOKUP($F$21,'Анализ стоимости'!$A$4:$DK$59,24+2,0)+VLOOKUP($F$21,'Анализ стоимости'!$A$4:$DK$59,25+2,0)+VLOOKUP($F$21,'Анализ стоимости'!$A$4:$DK$59,26+2,0)+VLOOKUP($F$21,'Анализ стоимости'!$A$4:$DK$59,27+2,0)+VLOOKUP($F$21,'Анализ стоимости'!$A$4:$DK$59,28+2,0)+VLOOKUP($F$21,'Анализ стоимости'!$A$4:$DK$59,29+2,0)</f>
        <v>#N/A</v>
      </c>
      <c r="D428" s="293"/>
      <c r="J428" s="136" t="str">
        <f t="shared" si="91"/>
        <v/>
      </c>
    </row>
    <row r="429" spans="1:10">
      <c r="A429" s="252">
        <v>8</v>
      </c>
      <c r="B429" s="253" t="s">
        <v>46</v>
      </c>
      <c r="C429" s="292" t="e">
        <f>VLOOKUP($F$21,'Анализ стоимости'!$A$4:$DK$59,34+2,0)</f>
        <v>#N/A</v>
      </c>
      <c r="D429" s="293"/>
      <c r="J429" s="136" t="str">
        <f t="shared" si="91"/>
        <v/>
      </c>
    </row>
    <row r="430" spans="1:10">
      <c r="A430" s="252">
        <v>9</v>
      </c>
      <c r="B430" s="253" t="s">
        <v>169</v>
      </c>
      <c r="C430" s="292" t="e">
        <f>SUM(C422:D429)</f>
        <v>#N/A</v>
      </c>
      <c r="D430" s="293"/>
      <c r="J430" s="136" t="str">
        <f t="shared" si="91"/>
        <v/>
      </c>
    </row>
    <row r="431" spans="1:10">
      <c r="A431" s="294" t="s">
        <v>161</v>
      </c>
      <c r="B431" s="294"/>
      <c r="C431" s="294"/>
      <c r="D431" s="294"/>
      <c r="J431" s="136" t="str">
        <f t="shared" si="91"/>
        <v/>
      </c>
    </row>
    <row r="432" spans="1:10" ht="31.5">
      <c r="A432" s="255" t="s">
        <v>53</v>
      </c>
      <c r="B432" s="249" t="s">
        <v>15</v>
      </c>
      <c r="C432" s="249" t="s">
        <v>152</v>
      </c>
      <c r="D432" s="249" t="s">
        <v>88</v>
      </c>
      <c r="J432" s="136" t="str">
        <f t="shared" si="91"/>
        <v/>
      </c>
    </row>
    <row r="433" spans="1:10">
      <c r="A433" s="252">
        <v>10</v>
      </c>
      <c r="B433" s="252" t="e">
        <f>VLOOKUP((VLOOKUP($F$21,'Анализ стоимости'!$A$4:$BY$59,12,0)),'Расчет инфляции'!$BD$5:$BE$22,2,0)</f>
        <v>#N/A</v>
      </c>
      <c r="C433" s="252"/>
      <c r="D433" s="253"/>
      <c r="J433" s="136" t="str">
        <f t="shared" si="91"/>
        <v/>
      </c>
    </row>
    <row r="434" spans="1:10">
      <c r="A434" s="252" t="e">
        <f>IF(D434=0,0,A433+1)</f>
        <v>#N/A</v>
      </c>
      <c r="B434" s="253" t="e">
        <f>CONCATENATE("2014 г. (",CHOOSE(VLOOKUP(F$21,'Анализ стоимости'!$A$4:$DK$90,68,0),"Январь","Февраль","Март","Апрель","Май","Июнь","Июль","Август","Сентябрь","Октябрь","Ноябрь","Декабрь")," - ",CHOOSE(VLOOKUP(F$21,'Анализ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434" s="252" t="s">
        <v>153</v>
      </c>
      <c r="D434" s="278" t="e">
        <f>IF(D436=0,0,VLOOKUP($F$21,'Анализ стоимости'!$A$4:$DK$59,74,0)*100+100)</f>
        <v>#N/A</v>
      </c>
      <c r="J434" s="136" t="e">
        <f>IF(D434=0,"",1)</f>
        <v>#N/A</v>
      </c>
    </row>
    <row r="435" spans="1:10">
      <c r="A435" s="252" t="e">
        <f>IF(D435=0,0,IF(D434=0,A433+1,A434+1))</f>
        <v>#N/A</v>
      </c>
      <c r="B435" s="253" t="e">
        <f>CONCATENATE("2015 г. (",CHOOSE(VLOOKUP(F$21,'Анализ стоимости'!$A$4:$DK$90,70,0),"Январь","Февраль","Март","Апрель","Май","Июнь","Июль","Август","Сентябрь","Октябрь","Ноябрь","Декабрь")," - ",CHOOSE(VLOOKUP(F$21,'Анализ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435" s="252" t="s">
        <v>153</v>
      </c>
      <c r="D435" s="278" t="e">
        <f>IF(D437=0,0,VLOOKUP($F$21,'Анализ стоимости'!$A$4:$DK$59,75,0)*100+100)</f>
        <v>#N/A</v>
      </c>
      <c r="J435" s="136" t="e">
        <f t="shared" ref="J435:J437" si="92">IF(D435=0,"",1)</f>
        <v>#N/A</v>
      </c>
    </row>
    <row r="436" spans="1:10">
      <c r="A436" s="252" t="e">
        <f>IF(D436=0,0,IF(D435=0,A434+1,A435+1))</f>
        <v>#N/A</v>
      </c>
      <c r="B436" s="253" t="s">
        <v>154</v>
      </c>
      <c r="C436" s="252" t="s">
        <v>156</v>
      </c>
      <c r="D436" s="257" t="e">
        <f>VLOOKUP($F$21,'Анализ стоимости'!$A$4:$DK$59,51,0)</f>
        <v>#N/A</v>
      </c>
      <c r="J436" s="136" t="e">
        <f t="shared" si="92"/>
        <v>#N/A</v>
      </c>
    </row>
    <row r="437" spans="1:10">
      <c r="A437" s="252" t="e">
        <f>IF(D437=0,0,IF(D436=0,A435+1,A436+1))</f>
        <v>#N/A</v>
      </c>
      <c r="B437" s="253" t="s">
        <v>155</v>
      </c>
      <c r="C437" s="252" t="s">
        <v>156</v>
      </c>
      <c r="D437" s="257" t="e">
        <f>VLOOKUP($F$21,'Анализ стоимости'!$A$4:$DK$59,61,0)</f>
        <v>#N/A</v>
      </c>
      <c r="J437" s="136" t="e">
        <f t="shared" si="92"/>
        <v>#N/A</v>
      </c>
    </row>
    <row r="438" spans="1:10">
      <c r="A438" s="294" t="s">
        <v>157</v>
      </c>
      <c r="B438" s="294"/>
      <c r="C438" s="294"/>
      <c r="D438" s="294"/>
      <c r="J438" s="136" t="str">
        <f>IF($F$21=0,"",1)</f>
        <v/>
      </c>
    </row>
    <row r="439" spans="1:10" ht="31.5">
      <c r="A439" s="252" t="e">
        <f>IF(D439=0,0,IF(D437=0,IF(D436=0,A433+1,A436+1),A437+1))</f>
        <v>#N/A</v>
      </c>
      <c r="B439" s="258" t="s">
        <v>206</v>
      </c>
      <c r="C439" s="252" t="s">
        <v>156</v>
      </c>
      <c r="D439" s="257" t="e">
        <f>SUM(VLOOKUP($F$21,'Анализ стоимости'!$A$4:$DK$59,46,0),D436)</f>
        <v>#N/A</v>
      </c>
      <c r="E439" s="136"/>
      <c r="J439" s="136" t="e">
        <f t="shared" ref="J439:J445" si="93">IF(D439=0,"",1)</f>
        <v>#N/A</v>
      </c>
    </row>
    <row r="440" spans="1:10">
      <c r="A440" s="252" t="e">
        <f>IF(D440=0,0,A439+1)</f>
        <v>#N/A</v>
      </c>
      <c r="B440" s="258" t="s">
        <v>159</v>
      </c>
      <c r="C440" s="252" t="s">
        <v>156</v>
      </c>
      <c r="D440" s="257" t="e">
        <f>VLOOKUP($F$21,'Анализ стоимости'!$A$4:$DK$59,56,0)</f>
        <v>#N/A</v>
      </c>
      <c r="E440" s="136"/>
      <c r="J440" s="136" t="e">
        <f t="shared" si="93"/>
        <v>#N/A</v>
      </c>
    </row>
    <row r="441" spans="1:10">
      <c r="A441" s="252" t="e">
        <f>IF(D441=0,0,A440+1)</f>
        <v>#N/A</v>
      </c>
      <c r="B441" s="258" t="s">
        <v>205</v>
      </c>
      <c r="C441" s="252" t="s">
        <v>156</v>
      </c>
      <c r="D441" s="257" t="e">
        <f>SUM(D439:D440)</f>
        <v>#N/A</v>
      </c>
      <c r="E441" s="254" t="e">
        <f>VLOOKUP($F$21,'Анализ стоимости'!$A$4:$DK$59,76,0)</f>
        <v>#N/A</v>
      </c>
      <c r="J441" s="136" t="e">
        <f t="shared" si="93"/>
        <v>#N/A</v>
      </c>
    </row>
    <row r="442" spans="1:10" ht="31.5">
      <c r="A442" s="252" t="e">
        <f>IF(D442=0,0,IF(D441=0,IF(D437=0,A433+1,A437+1),A441+1))</f>
        <v>#N/A</v>
      </c>
      <c r="B442" s="258" t="s">
        <v>204</v>
      </c>
      <c r="C442" s="252" t="s">
        <v>156</v>
      </c>
      <c r="D442" s="257" t="e">
        <f>VLOOKUP($F$21,'Анализ стоимости'!$A$4:$DK$59,41,0)-VLOOKUP($F$21,'Анализ стоимости'!$A$4:$DK$59,46,0)+D437</f>
        <v>#N/A</v>
      </c>
      <c r="J442" s="136" t="e">
        <f t="shared" si="93"/>
        <v>#N/A</v>
      </c>
    </row>
    <row r="443" spans="1:10">
      <c r="A443" s="252" t="e">
        <f>IF(D443=0,0,A442+1)</f>
        <v>#N/A</v>
      </c>
      <c r="B443" s="258" t="s">
        <v>159</v>
      </c>
      <c r="C443" s="252" t="s">
        <v>156</v>
      </c>
      <c r="D443" s="257" t="e">
        <f>VLOOKUP($F$21,'Анализ стоимости'!$A$4:$DK$59,66,0)</f>
        <v>#N/A</v>
      </c>
      <c r="J443" s="136" t="e">
        <f t="shared" si="93"/>
        <v>#N/A</v>
      </c>
    </row>
    <row r="444" spans="1:10">
      <c r="A444" s="252" t="e">
        <f>IF(D444=0,0,A443+1)</f>
        <v>#N/A</v>
      </c>
      <c r="B444" s="258" t="s">
        <v>203</v>
      </c>
      <c r="C444" s="252" t="s">
        <v>156</v>
      </c>
      <c r="D444" s="257" t="e">
        <f>SUM(D442:D443)</f>
        <v>#N/A</v>
      </c>
      <c r="E444" s="254" t="e">
        <f>VLOOKUP($F$21,'Анализ стоимости'!$A$4:$DK$59,77,0)</f>
        <v>#N/A</v>
      </c>
      <c r="J444" s="136" t="e">
        <f t="shared" si="93"/>
        <v>#N/A</v>
      </c>
    </row>
    <row r="445" spans="1:10">
      <c r="A445" s="252" t="e">
        <f>IF(D445=0,0,A444+1)</f>
        <v>#N/A</v>
      </c>
      <c r="B445" s="258" t="s">
        <v>158</v>
      </c>
      <c r="C445" s="252" t="s">
        <v>156</v>
      </c>
      <c r="D445" s="257" t="e">
        <f>IF(OR(D441=0,D444=0),0,D444+D441)</f>
        <v>#N/A</v>
      </c>
      <c r="E445" s="254" t="e">
        <f>VLOOKUP($F$21,'Анализ стоимости'!$A$4:$DK$59,67,0)</f>
        <v>#N/A</v>
      </c>
      <c r="J445" s="136" t="e">
        <f t="shared" si="93"/>
        <v>#N/A</v>
      </c>
    </row>
    <row r="446" spans="1:10">
      <c r="A446" s="262"/>
      <c r="B446" s="262"/>
      <c r="C446" s="262"/>
      <c r="D446" s="263"/>
      <c r="J446" s="136" t="str">
        <f>IF($F$21=0,"",1)</f>
        <v/>
      </c>
    </row>
    <row r="447" spans="1:10" ht="31.5" customHeight="1">
      <c r="A447" s="289" t="str">
        <f>'Анализ стоимости'!M$52</f>
        <v>Заместитель главы Вышестеблиевского сельского поселения Темрюкского района</v>
      </c>
      <c r="B447" s="290"/>
      <c r="C447" s="264"/>
      <c r="D447" s="265" t="str">
        <f>CONCATENATE("_____________________ ",'Анализ стоимости'!M$53)</f>
        <v>_____________________ Н.Д.Шевченко</v>
      </c>
      <c r="G447" s="267" t="str">
        <f>A447</f>
        <v>Заместитель главы Вышестеблиевского сельского поселения Темрюкского района</v>
      </c>
      <c r="J447" s="136" t="str">
        <f>IF($F$12=0,"",1)</f>
        <v/>
      </c>
    </row>
    <row r="448" spans="1:10" s="237" customFormat="1" ht="5.25">
      <c r="A448" s="269"/>
      <c r="B448" s="269"/>
      <c r="C448" s="269"/>
      <c r="D448" s="270"/>
      <c r="G448" s="238"/>
      <c r="H448" s="238"/>
      <c r="I448" s="273"/>
      <c r="J448" s="277" t="str">
        <f>IF($F$12=0,"",1)</f>
        <v/>
      </c>
    </row>
    <row r="449" spans="1:10">
      <c r="A449" s="291">
        <f ca="1">TODAY()</f>
        <v>41941</v>
      </c>
      <c r="B449" s="291"/>
      <c r="C449" s="224"/>
      <c r="D449" s="224"/>
      <c r="J449" s="136" t="str">
        <f>IF($F$21=0,"",1)</f>
        <v/>
      </c>
    </row>
    <row r="450" spans="1:10">
      <c r="A450" s="295" t="s">
        <v>182</v>
      </c>
      <c r="B450" s="295"/>
      <c r="C450" s="295"/>
      <c r="D450" s="295"/>
      <c r="G450" s="226"/>
      <c r="H450" s="226"/>
      <c r="J450" s="136" t="str">
        <f t="shared" ref="J450:J467" si="94">IF($F$22=0,"",1)</f>
        <v/>
      </c>
    </row>
    <row r="451" spans="1:10">
      <c r="A451" s="296" t="e">
        <f>CONCATENATE("Наименование объекта: ",VLOOKUP($F$22,'Анализ стоимости'!$A$4:$DK$59,11+2,0))</f>
        <v>#N/A</v>
      </c>
      <c r="B451" s="296"/>
      <c r="C451" s="296"/>
      <c r="D451" s="296"/>
      <c r="I451" s="276" t="e">
        <f>A451</f>
        <v>#N/A</v>
      </c>
      <c r="J451" s="136" t="str">
        <f t="shared" si="94"/>
        <v/>
      </c>
    </row>
    <row r="452" spans="1:10" s="237" customFormat="1" ht="5.25">
      <c r="A452" s="246"/>
      <c r="B452" s="235"/>
      <c r="C452" s="235"/>
      <c r="D452" s="235"/>
      <c r="G452" s="238"/>
      <c r="H452" s="238"/>
      <c r="I452" s="273"/>
      <c r="J452" s="277" t="str">
        <f t="shared" si="94"/>
        <v/>
      </c>
    </row>
    <row r="453" spans="1:10">
      <c r="A453" s="248" t="s">
        <v>149</v>
      </c>
      <c r="B453" s="241"/>
      <c r="C453" s="241"/>
      <c r="D453" s="241"/>
      <c r="J453" s="136" t="str">
        <f t="shared" si="94"/>
        <v/>
      </c>
    </row>
    <row r="454" spans="1:10">
      <c r="A454" s="297" t="s">
        <v>150</v>
      </c>
      <c r="B454" s="297"/>
      <c r="C454" s="297"/>
      <c r="D454" s="297"/>
      <c r="J454" s="136" t="str">
        <f t="shared" si="94"/>
        <v/>
      </c>
    </row>
    <row r="455" spans="1:10" ht="47.25" customHeight="1">
      <c r="A455" s="249" t="s">
        <v>53</v>
      </c>
      <c r="B455" s="249" t="s">
        <v>87</v>
      </c>
      <c r="C455" s="298" t="e">
        <f>CONCATENATE("Стоимость  согласно сметной документации (руб.) в текущих ценах по состоянию на ",VLOOKUP($F$22,'Анализ стоимости'!$A$4:$BY$59,6+2,0)," г.")</f>
        <v>#N/A</v>
      </c>
      <c r="D455" s="299"/>
      <c r="H455" s="250" t="e">
        <f>C455</f>
        <v>#N/A</v>
      </c>
      <c r="J455" s="136" t="str">
        <f t="shared" si="94"/>
        <v/>
      </c>
    </row>
    <row r="456" spans="1:10">
      <c r="A456" s="252">
        <v>1</v>
      </c>
      <c r="B456" s="253" t="s">
        <v>28</v>
      </c>
      <c r="C456" s="292" t="e">
        <f>VLOOKUP($F$22,'Анализ стоимости'!$A$4:$BY$59,12+2,0)</f>
        <v>#N/A</v>
      </c>
      <c r="D456" s="293"/>
      <c r="J456" s="136" t="str">
        <f t="shared" si="94"/>
        <v/>
      </c>
    </row>
    <row r="457" spans="1:10">
      <c r="A457" s="252">
        <v>2</v>
      </c>
      <c r="B457" s="253" t="s">
        <v>23</v>
      </c>
      <c r="C457" s="292" t="e">
        <f>VLOOKUP($F$22,'Анализ стоимости'!$A$4:$DK$59,13+2,0)</f>
        <v>#N/A</v>
      </c>
      <c r="D457" s="293"/>
      <c r="J457" s="136" t="str">
        <f t="shared" si="94"/>
        <v/>
      </c>
    </row>
    <row r="458" spans="1:10" ht="31.5">
      <c r="A458" s="252">
        <v>3</v>
      </c>
      <c r="B458" s="253" t="s">
        <v>2</v>
      </c>
      <c r="C458" s="292" t="e">
        <f>VLOOKUP($F$22,'Анализ стоимости'!$A$4:$DK$59,14+2,0)</f>
        <v>#N/A</v>
      </c>
      <c r="D458" s="293"/>
      <c r="J458" s="136" t="str">
        <f t="shared" si="94"/>
        <v/>
      </c>
    </row>
    <row r="459" spans="1:10">
      <c r="A459" s="252">
        <v>4</v>
      </c>
      <c r="B459" s="253" t="s">
        <v>24</v>
      </c>
      <c r="C459" s="292" t="e">
        <f>VLOOKUP($F$22,'Анализ стоимости'!$A$4:$DK$59,15+2,0)</f>
        <v>#N/A</v>
      </c>
      <c r="D459" s="293"/>
      <c r="J459" s="136" t="str">
        <f t="shared" si="94"/>
        <v/>
      </c>
    </row>
    <row r="460" spans="1:10">
      <c r="A460" s="252">
        <v>5</v>
      </c>
      <c r="B460" s="253" t="s">
        <v>5</v>
      </c>
      <c r="C460" s="292" t="e">
        <f>VLOOKUP($F$22,'Анализ стоимости'!$A$4:$DK$59,16+2,0)</f>
        <v>#N/A</v>
      </c>
      <c r="D460" s="293"/>
      <c r="J460" s="136" t="str">
        <f t="shared" si="94"/>
        <v/>
      </c>
    </row>
    <row r="461" spans="1:10">
      <c r="A461" s="252">
        <v>6</v>
      </c>
      <c r="B461" s="253" t="s">
        <v>10</v>
      </c>
      <c r="C461" s="292" t="e">
        <f>VLOOKUP($F$22,'Анализ стоимости'!$A$4:$DK$59,20+2,0)</f>
        <v>#N/A</v>
      </c>
      <c r="D461" s="293"/>
      <c r="J461" s="136" t="str">
        <f t="shared" si="94"/>
        <v/>
      </c>
    </row>
    <row r="462" spans="1:10">
      <c r="A462" s="252">
        <v>7</v>
      </c>
      <c r="B462" s="253" t="s">
        <v>79</v>
      </c>
      <c r="C462" s="292" t="e">
        <f>VLOOKUP($F$22,'Анализ стоимости'!$A$4:$DK$59,21+2,0)+VLOOKUP($F$22,'Анализ стоимости'!$A$4:$DK$59,23+2,0)+VLOOKUP($F$22,'Анализ стоимости'!$A$4:$DK$59,24+2,0)+VLOOKUP($F$22,'Анализ стоимости'!$A$4:$DK$59,25+2,0)+VLOOKUP($F$22,'Анализ стоимости'!$A$4:$DK$59,26+2,0)+VLOOKUP($F$22,'Анализ стоимости'!$A$4:$DK$59,27+2,0)+VLOOKUP($F$22,'Анализ стоимости'!$A$4:$DK$59,28+2,0)+VLOOKUP($F$22,'Анализ стоимости'!$A$4:$DK$59,29+2,0)</f>
        <v>#N/A</v>
      </c>
      <c r="D462" s="293"/>
      <c r="J462" s="136" t="str">
        <f t="shared" si="94"/>
        <v/>
      </c>
    </row>
    <row r="463" spans="1:10">
      <c r="A463" s="252">
        <v>8</v>
      </c>
      <c r="B463" s="253" t="s">
        <v>46</v>
      </c>
      <c r="C463" s="292" t="e">
        <f>VLOOKUP($F$22,'Анализ стоимости'!$A$4:$DK$59,34+2,0)</f>
        <v>#N/A</v>
      </c>
      <c r="D463" s="293"/>
      <c r="J463" s="136" t="str">
        <f t="shared" si="94"/>
        <v/>
      </c>
    </row>
    <row r="464" spans="1:10">
      <c r="A464" s="252">
        <v>9</v>
      </c>
      <c r="B464" s="253" t="s">
        <v>169</v>
      </c>
      <c r="C464" s="292" t="e">
        <f>SUM(C456:D463)</f>
        <v>#N/A</v>
      </c>
      <c r="D464" s="293"/>
      <c r="J464" s="136" t="str">
        <f t="shared" si="94"/>
        <v/>
      </c>
    </row>
    <row r="465" spans="1:10">
      <c r="A465" s="294" t="s">
        <v>161</v>
      </c>
      <c r="B465" s="294"/>
      <c r="C465" s="294"/>
      <c r="D465" s="294"/>
      <c r="J465" s="136" t="str">
        <f t="shared" si="94"/>
        <v/>
      </c>
    </row>
    <row r="466" spans="1:10" ht="31.5">
      <c r="A466" s="255" t="s">
        <v>53</v>
      </c>
      <c r="B466" s="249" t="s">
        <v>15</v>
      </c>
      <c r="C466" s="249" t="s">
        <v>152</v>
      </c>
      <c r="D466" s="249" t="s">
        <v>88</v>
      </c>
      <c r="J466" s="136" t="str">
        <f t="shared" si="94"/>
        <v/>
      </c>
    </row>
    <row r="467" spans="1:10">
      <c r="A467" s="252">
        <v>10</v>
      </c>
      <c r="B467" s="252" t="e">
        <f>VLOOKUP((VLOOKUP($F$22,'Анализ стоимости'!$A$4:$BY$59,12,0)),'Расчет инфляции'!$BD$5:$BE$22,2,0)</f>
        <v>#N/A</v>
      </c>
      <c r="C467" s="252"/>
      <c r="D467" s="253"/>
      <c r="J467" s="136" t="str">
        <f t="shared" si="94"/>
        <v/>
      </c>
    </row>
    <row r="468" spans="1:10">
      <c r="A468" s="252" t="e">
        <f>IF(D468=0,0,A467+1)</f>
        <v>#N/A</v>
      </c>
      <c r="B468" s="253" t="e">
        <f>CONCATENATE("2014 г. (",CHOOSE(VLOOKUP(F$22,'Анализ стоимости'!$A$4:$DK$90,68,0),"Январь","Февраль","Март","Апрель","Май","Июнь","Июль","Август","Сентябрь","Октябрь","Ноябрь","Декабрь")," - ",CHOOSE(VLOOKUP(F$22,'Анализ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468" s="252" t="s">
        <v>153</v>
      </c>
      <c r="D468" s="278" t="e">
        <f>IF(D470=0,0,VLOOKUP($F$22,'Анализ стоимости'!$A$4:$DK$59,74,0)*100+100)</f>
        <v>#N/A</v>
      </c>
      <c r="J468" s="136" t="e">
        <f>IF(D468=0,"",1)</f>
        <v>#N/A</v>
      </c>
    </row>
    <row r="469" spans="1:10">
      <c r="A469" s="252" t="e">
        <f>IF(D469=0,0,IF(D468=0,A467+1,A468+1))</f>
        <v>#N/A</v>
      </c>
      <c r="B469" s="253" t="e">
        <f>CONCATENATE("2015 г. (",CHOOSE(VLOOKUP(F$22,'Анализ стоимости'!$A$4:$DK$90,70,0),"Январь","Февраль","Март","Апрель","Май","Июнь","Июль","Август","Сентябрь","Октябрь","Ноябрь","Декабрь")," - ",CHOOSE(VLOOKUP(F$22,'Анализ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469" s="252" t="s">
        <v>153</v>
      </c>
      <c r="D469" s="278" t="e">
        <f>IF(D471=0,0,VLOOKUP($F$22,'Анализ стоимости'!$A$4:$DK$59,75,0)*100+100)</f>
        <v>#N/A</v>
      </c>
      <c r="J469" s="136" t="e">
        <f t="shared" ref="J469:J471" si="95">IF(D469=0,"",1)</f>
        <v>#N/A</v>
      </c>
    </row>
    <row r="470" spans="1:10">
      <c r="A470" s="252" t="e">
        <f>IF(D470=0,0,IF(D469=0,A468+1,A469+1))</f>
        <v>#N/A</v>
      </c>
      <c r="B470" s="253" t="s">
        <v>154</v>
      </c>
      <c r="C470" s="252" t="s">
        <v>156</v>
      </c>
      <c r="D470" s="257" t="e">
        <f>VLOOKUP($F$22,'Анализ стоимости'!$A$4:$DK$59,51,0)</f>
        <v>#N/A</v>
      </c>
      <c r="J470" s="136" t="e">
        <f t="shared" si="95"/>
        <v>#N/A</v>
      </c>
    </row>
    <row r="471" spans="1:10">
      <c r="A471" s="252" t="e">
        <f>IF(D471=0,0,IF(D470=0,A469+1,A470+1))</f>
        <v>#N/A</v>
      </c>
      <c r="B471" s="253" t="s">
        <v>155</v>
      </c>
      <c r="C471" s="252" t="s">
        <v>156</v>
      </c>
      <c r="D471" s="257" t="e">
        <f>VLOOKUP($F$22,'Анализ стоимости'!$A$4:$DK$59,61,0)</f>
        <v>#N/A</v>
      </c>
      <c r="J471" s="136" t="e">
        <f t="shared" si="95"/>
        <v>#N/A</v>
      </c>
    </row>
    <row r="472" spans="1:10">
      <c r="A472" s="294" t="s">
        <v>157</v>
      </c>
      <c r="B472" s="294"/>
      <c r="C472" s="294"/>
      <c r="D472" s="294"/>
      <c r="J472" s="136" t="str">
        <f>IF($F$22=0,"",1)</f>
        <v/>
      </c>
    </row>
    <row r="473" spans="1:10" ht="31.5">
      <c r="A473" s="252" t="e">
        <f>IF(D473=0,0,IF(D471=0,IF(D470=0,A467+1,A470+1),A471+1))</f>
        <v>#N/A</v>
      </c>
      <c r="B473" s="258" t="s">
        <v>206</v>
      </c>
      <c r="C473" s="252" t="s">
        <v>156</v>
      </c>
      <c r="D473" s="257" t="e">
        <f>SUM(VLOOKUP($F$22,'Анализ стоимости'!$A$4:$DK$59,46,0),D470)</f>
        <v>#N/A</v>
      </c>
      <c r="E473" s="136"/>
      <c r="J473" s="136" t="e">
        <f t="shared" ref="J473:J479" si="96">IF(D473=0,"",1)</f>
        <v>#N/A</v>
      </c>
    </row>
    <row r="474" spans="1:10">
      <c r="A474" s="252" t="e">
        <f>IF(D474=0,0,A473+1)</f>
        <v>#N/A</v>
      </c>
      <c r="B474" s="258" t="s">
        <v>159</v>
      </c>
      <c r="C474" s="252" t="s">
        <v>156</v>
      </c>
      <c r="D474" s="257" t="e">
        <f>VLOOKUP($F$22,'Анализ стоимости'!$A$4:$DK$59,56,0)</f>
        <v>#N/A</v>
      </c>
      <c r="E474" s="136"/>
      <c r="J474" s="136" t="e">
        <f t="shared" si="96"/>
        <v>#N/A</v>
      </c>
    </row>
    <row r="475" spans="1:10">
      <c r="A475" s="252" t="e">
        <f>IF(D475=0,0,A474+1)</f>
        <v>#N/A</v>
      </c>
      <c r="B475" s="258" t="s">
        <v>205</v>
      </c>
      <c r="C475" s="252" t="s">
        <v>156</v>
      </c>
      <c r="D475" s="257" t="e">
        <f>SUM(D473:D474)</f>
        <v>#N/A</v>
      </c>
      <c r="E475" s="254" t="e">
        <f>VLOOKUP($F$22,'Анализ стоимости'!$A$4:$DK$59,76,0)</f>
        <v>#N/A</v>
      </c>
      <c r="J475" s="136" t="e">
        <f t="shared" si="96"/>
        <v>#N/A</v>
      </c>
    </row>
    <row r="476" spans="1:10" ht="31.5">
      <c r="A476" s="252" t="e">
        <f>IF(D476=0,0,IF(D475=0,IF(D471=0,A467+1,A471+1),A475+1))</f>
        <v>#N/A</v>
      </c>
      <c r="B476" s="258" t="s">
        <v>204</v>
      </c>
      <c r="C476" s="252" t="s">
        <v>156</v>
      </c>
      <c r="D476" s="257" t="e">
        <f>VLOOKUP($F$22,'Анализ стоимости'!$A$4:$DK$59,41,0)-VLOOKUP($F$22,'Анализ стоимости'!$A$4:$DK$59,46,0)+D471</f>
        <v>#N/A</v>
      </c>
      <c r="J476" s="136" t="e">
        <f t="shared" si="96"/>
        <v>#N/A</v>
      </c>
    </row>
    <row r="477" spans="1:10">
      <c r="A477" s="252" t="e">
        <f>IF(D477=0,0,A476+1)</f>
        <v>#N/A</v>
      </c>
      <c r="B477" s="258" t="s">
        <v>159</v>
      </c>
      <c r="C477" s="252" t="s">
        <v>156</v>
      </c>
      <c r="D477" s="257" t="e">
        <f>VLOOKUP($F$22,'Анализ стоимости'!$A$4:$DK$59,66,0)</f>
        <v>#N/A</v>
      </c>
      <c r="J477" s="136" t="e">
        <f t="shared" si="96"/>
        <v>#N/A</v>
      </c>
    </row>
    <row r="478" spans="1:10">
      <c r="A478" s="252" t="e">
        <f>IF(D478=0,0,A477+1)</f>
        <v>#N/A</v>
      </c>
      <c r="B478" s="258" t="s">
        <v>203</v>
      </c>
      <c r="C478" s="252" t="s">
        <v>156</v>
      </c>
      <c r="D478" s="257" t="e">
        <f>SUM(D476:D477)</f>
        <v>#N/A</v>
      </c>
      <c r="E478" s="254" t="e">
        <f>VLOOKUP($F$22,'Анализ стоимости'!$A$4:$DK$59,77,0)</f>
        <v>#N/A</v>
      </c>
      <c r="J478" s="136" t="e">
        <f t="shared" si="96"/>
        <v>#N/A</v>
      </c>
    </row>
    <row r="479" spans="1:10">
      <c r="A479" s="252" t="e">
        <f>IF(D479=0,0,A478+1)</f>
        <v>#N/A</v>
      </c>
      <c r="B479" s="258" t="s">
        <v>158</v>
      </c>
      <c r="C479" s="252" t="s">
        <v>156</v>
      </c>
      <c r="D479" s="257" t="e">
        <f>IF(OR(D475=0,D478=0),0,D478+D475)</f>
        <v>#N/A</v>
      </c>
      <c r="E479" s="254" t="e">
        <f>VLOOKUP($F$22,'Анализ стоимости'!$A$4:$DK$59,67,0)</f>
        <v>#N/A</v>
      </c>
      <c r="J479" s="136" t="e">
        <f t="shared" si="96"/>
        <v>#N/A</v>
      </c>
    </row>
    <row r="480" spans="1:10">
      <c r="A480" s="262"/>
      <c r="B480" s="262"/>
      <c r="C480" s="262"/>
      <c r="D480" s="263"/>
      <c r="J480" s="136" t="str">
        <f>IF($F$22=0,"",1)</f>
        <v/>
      </c>
    </row>
    <row r="481" spans="1:10" ht="31.5" customHeight="1">
      <c r="A481" s="289" t="str">
        <f>'Анализ стоимости'!M$52</f>
        <v>Заместитель главы Вышестеблиевского сельского поселения Темрюкского района</v>
      </c>
      <c r="B481" s="290"/>
      <c r="C481" s="264"/>
      <c r="D481" s="265" t="str">
        <f>CONCATENATE("_____________________ ",'Анализ стоимости'!M$53)</f>
        <v>_____________________ Н.Д.Шевченко</v>
      </c>
      <c r="G481" s="267" t="str">
        <f>A481</f>
        <v>Заместитель главы Вышестеблиевского сельского поселения Темрюкского района</v>
      </c>
      <c r="J481" s="136" t="str">
        <f>IF($F$12=0,"",1)</f>
        <v/>
      </c>
    </row>
    <row r="482" spans="1:10" s="237" customFormat="1" ht="5.25">
      <c r="A482" s="269"/>
      <c r="B482" s="269"/>
      <c r="C482" s="269"/>
      <c r="D482" s="270"/>
      <c r="G482" s="238"/>
      <c r="H482" s="238"/>
      <c r="I482" s="273"/>
      <c r="J482" s="277" t="str">
        <f>IF($F$12=0,"",1)</f>
        <v/>
      </c>
    </row>
    <row r="483" spans="1:10">
      <c r="A483" s="291">
        <f ca="1">TODAY()</f>
        <v>41941</v>
      </c>
      <c r="B483" s="291"/>
      <c r="C483" s="224"/>
      <c r="D483" s="224"/>
      <c r="J483" s="136" t="str">
        <f>IF($F$22=0,"",1)</f>
        <v/>
      </c>
    </row>
    <row r="484" spans="1:10">
      <c r="A484" s="295" t="s">
        <v>183</v>
      </c>
      <c r="B484" s="295"/>
      <c r="C484" s="295"/>
      <c r="D484" s="295"/>
      <c r="G484" s="226"/>
      <c r="H484" s="226"/>
      <c r="J484" s="136" t="str">
        <f t="shared" ref="J484:J501" si="97">IF($F$23=0,"",1)</f>
        <v/>
      </c>
    </row>
    <row r="485" spans="1:10">
      <c r="A485" s="296" t="e">
        <f>CONCATENATE("Наименование объекта: ",VLOOKUP($F$23,'Анализ стоимости'!$A$4:$DK$59,11+2,0))</f>
        <v>#N/A</v>
      </c>
      <c r="B485" s="296"/>
      <c r="C485" s="296"/>
      <c r="D485" s="296"/>
      <c r="I485" s="276" t="e">
        <f>A485</f>
        <v>#N/A</v>
      </c>
      <c r="J485" s="136" t="str">
        <f t="shared" si="97"/>
        <v/>
      </c>
    </row>
    <row r="486" spans="1:10" s="237" customFormat="1" ht="5.25">
      <c r="A486" s="246"/>
      <c r="B486" s="235"/>
      <c r="C486" s="235"/>
      <c r="D486" s="235"/>
      <c r="G486" s="238"/>
      <c r="H486" s="238"/>
      <c r="I486" s="273"/>
      <c r="J486" s="277" t="str">
        <f t="shared" si="97"/>
        <v/>
      </c>
    </row>
    <row r="487" spans="1:10">
      <c r="A487" s="248" t="s">
        <v>149</v>
      </c>
      <c r="B487" s="241"/>
      <c r="C487" s="241"/>
      <c r="D487" s="241"/>
      <c r="J487" s="136" t="str">
        <f t="shared" si="97"/>
        <v/>
      </c>
    </row>
    <row r="488" spans="1:10">
      <c r="A488" s="297" t="s">
        <v>150</v>
      </c>
      <c r="B488" s="297"/>
      <c r="C488" s="297"/>
      <c r="D488" s="297"/>
      <c r="J488" s="136" t="str">
        <f t="shared" si="97"/>
        <v/>
      </c>
    </row>
    <row r="489" spans="1:10" ht="47.25" customHeight="1">
      <c r="A489" s="249" t="s">
        <v>53</v>
      </c>
      <c r="B489" s="249" t="s">
        <v>87</v>
      </c>
      <c r="C489" s="298" t="e">
        <f>CONCATENATE("Стоимость  согласно сметной документации (руб.) в текущих ценах по состоянию на ",VLOOKUP($F$23,'Анализ стоимости'!$A$4:$BY$59,6+2,0)," г.")</f>
        <v>#N/A</v>
      </c>
      <c r="D489" s="299"/>
      <c r="H489" s="250" t="e">
        <f>C489</f>
        <v>#N/A</v>
      </c>
      <c r="J489" s="136" t="str">
        <f t="shared" si="97"/>
        <v/>
      </c>
    </row>
    <row r="490" spans="1:10">
      <c r="A490" s="252">
        <v>1</v>
      </c>
      <c r="B490" s="253" t="s">
        <v>28</v>
      </c>
      <c r="C490" s="292" t="e">
        <f>VLOOKUP($F$23,'Анализ стоимости'!$A$4:$BY$59,12+2,0)</f>
        <v>#N/A</v>
      </c>
      <c r="D490" s="293"/>
      <c r="J490" s="136" t="str">
        <f t="shared" si="97"/>
        <v/>
      </c>
    </row>
    <row r="491" spans="1:10">
      <c r="A491" s="252">
        <v>2</v>
      </c>
      <c r="B491" s="253" t="s">
        <v>23</v>
      </c>
      <c r="C491" s="292" t="e">
        <f>VLOOKUP($F$23,'Анализ стоимости'!$A$4:$DK$59,13+2,0)</f>
        <v>#N/A</v>
      </c>
      <c r="D491" s="293"/>
      <c r="J491" s="136" t="str">
        <f t="shared" si="97"/>
        <v/>
      </c>
    </row>
    <row r="492" spans="1:10" ht="31.5">
      <c r="A492" s="252">
        <v>3</v>
      </c>
      <c r="B492" s="253" t="s">
        <v>2</v>
      </c>
      <c r="C492" s="292" t="e">
        <f>VLOOKUP($F$23,'Анализ стоимости'!$A$4:$DK$59,14+2,0)</f>
        <v>#N/A</v>
      </c>
      <c r="D492" s="293"/>
      <c r="J492" s="136" t="str">
        <f t="shared" si="97"/>
        <v/>
      </c>
    </row>
    <row r="493" spans="1:10">
      <c r="A493" s="252">
        <v>4</v>
      </c>
      <c r="B493" s="253" t="s">
        <v>24</v>
      </c>
      <c r="C493" s="292" t="e">
        <f>VLOOKUP($F$23,'Анализ стоимости'!$A$4:$DK$59,15+2,0)</f>
        <v>#N/A</v>
      </c>
      <c r="D493" s="293"/>
      <c r="J493" s="136" t="str">
        <f t="shared" si="97"/>
        <v/>
      </c>
    </row>
    <row r="494" spans="1:10">
      <c r="A494" s="252">
        <v>5</v>
      </c>
      <c r="B494" s="253" t="s">
        <v>5</v>
      </c>
      <c r="C494" s="292" t="e">
        <f>VLOOKUP($F$23,'Анализ стоимости'!$A$4:$DK$59,16+2,0)</f>
        <v>#N/A</v>
      </c>
      <c r="D494" s="293"/>
      <c r="J494" s="136" t="str">
        <f t="shared" si="97"/>
        <v/>
      </c>
    </row>
    <row r="495" spans="1:10">
      <c r="A495" s="252">
        <v>6</v>
      </c>
      <c r="B495" s="253" t="s">
        <v>10</v>
      </c>
      <c r="C495" s="292" t="e">
        <f>VLOOKUP($F$23,'Анализ стоимости'!$A$4:$DK$59,20+2,0)</f>
        <v>#N/A</v>
      </c>
      <c r="D495" s="293"/>
      <c r="J495" s="136" t="str">
        <f t="shared" si="97"/>
        <v/>
      </c>
    </row>
    <row r="496" spans="1:10">
      <c r="A496" s="252">
        <v>7</v>
      </c>
      <c r="B496" s="253" t="s">
        <v>79</v>
      </c>
      <c r="C496" s="292" t="e">
        <f>VLOOKUP($F$23,'Анализ стоимости'!$A$4:$DK$59,21+2,0)+VLOOKUP($F$23,'Анализ стоимости'!$A$4:$DK$59,23+2,0)+VLOOKUP($F$23,'Анализ стоимости'!$A$4:$DK$59,24+2,0)+VLOOKUP($F$23,'Анализ стоимости'!$A$4:$DK$59,25+2,0)+VLOOKUP($F$23,'Анализ стоимости'!$A$4:$DK$59,26+2,0)+VLOOKUP($F$23,'Анализ стоимости'!$A$4:$DK$59,27+2,0)+VLOOKUP($F$23,'Анализ стоимости'!$A$4:$DK$59,28+2,0)+VLOOKUP($F$23,'Анализ стоимости'!$A$4:$DK$59,29+2,0)</f>
        <v>#N/A</v>
      </c>
      <c r="D496" s="293"/>
      <c r="J496" s="136" t="str">
        <f t="shared" si="97"/>
        <v/>
      </c>
    </row>
    <row r="497" spans="1:10">
      <c r="A497" s="252">
        <v>8</v>
      </c>
      <c r="B497" s="253" t="s">
        <v>46</v>
      </c>
      <c r="C497" s="292" t="e">
        <f>VLOOKUP($F$23,'Анализ стоимости'!$A$4:$DK$59,34+2,0)</f>
        <v>#N/A</v>
      </c>
      <c r="D497" s="293"/>
      <c r="J497" s="136" t="str">
        <f t="shared" si="97"/>
        <v/>
      </c>
    </row>
    <row r="498" spans="1:10">
      <c r="A498" s="252">
        <v>9</v>
      </c>
      <c r="B498" s="253" t="s">
        <v>169</v>
      </c>
      <c r="C498" s="292" t="e">
        <f>SUM(C490:D497)</f>
        <v>#N/A</v>
      </c>
      <c r="D498" s="293"/>
      <c r="J498" s="136" t="str">
        <f t="shared" si="97"/>
        <v/>
      </c>
    </row>
    <row r="499" spans="1:10">
      <c r="A499" s="294" t="s">
        <v>161</v>
      </c>
      <c r="B499" s="294"/>
      <c r="C499" s="294"/>
      <c r="D499" s="294"/>
      <c r="J499" s="136" t="str">
        <f t="shared" si="97"/>
        <v/>
      </c>
    </row>
    <row r="500" spans="1:10" ht="31.5">
      <c r="A500" s="255" t="s">
        <v>53</v>
      </c>
      <c r="B500" s="249" t="s">
        <v>15</v>
      </c>
      <c r="C500" s="249" t="s">
        <v>152</v>
      </c>
      <c r="D500" s="249" t="s">
        <v>88</v>
      </c>
      <c r="J500" s="136" t="str">
        <f t="shared" si="97"/>
        <v/>
      </c>
    </row>
    <row r="501" spans="1:10">
      <c r="A501" s="252">
        <v>10</v>
      </c>
      <c r="B501" s="252" t="e">
        <f>VLOOKUP((VLOOKUP($F$23,'Анализ стоимости'!$A$4:$BY$59,12,0)),'Расчет инфляции'!$BD$5:$BE$22,2,0)</f>
        <v>#N/A</v>
      </c>
      <c r="C501" s="252"/>
      <c r="D501" s="253"/>
      <c r="J501" s="136" t="str">
        <f t="shared" si="97"/>
        <v/>
      </c>
    </row>
    <row r="502" spans="1:10">
      <c r="A502" s="252" t="e">
        <f>IF(D502=0,0,A501+1)</f>
        <v>#N/A</v>
      </c>
      <c r="B502" s="253" t="e">
        <f>CONCATENATE("2014 г. (",CHOOSE(VLOOKUP(F$23,'Анализ стоимости'!$A$4:$DK$90,68,0),"Январь","Февраль","Март","Апрель","Май","Июнь","Июль","Август","Сентябрь","Октябрь","Ноябрь","Декабрь")," - ",CHOOSE(VLOOKUP(F$23,'Анализ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502" s="252" t="s">
        <v>153</v>
      </c>
      <c r="D502" s="278" t="e">
        <f>IF(D504=0,0,VLOOKUP($F$23,'Анализ стоимости'!$A$4:$DK$59,74,0)*100+100)</f>
        <v>#N/A</v>
      </c>
      <c r="J502" s="136" t="e">
        <f>IF(D502=0,"",1)</f>
        <v>#N/A</v>
      </c>
    </row>
    <row r="503" spans="1:10">
      <c r="A503" s="252" t="e">
        <f>IF(D503=0,0,IF(D502=0,A501+1,A502+1))</f>
        <v>#N/A</v>
      </c>
      <c r="B503" s="253" t="e">
        <f>CONCATENATE("2015 г. (",CHOOSE(VLOOKUP(F$23,'Анализ стоимости'!$A$4:$DK$90,70,0),"Январь","Февраль","Март","Апрель","Май","Июнь","Июль","Август","Сентябрь","Октябрь","Ноябрь","Декабрь")," - ",CHOOSE(VLOOKUP(F$23,'Анализ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503" s="252" t="s">
        <v>153</v>
      </c>
      <c r="D503" s="278" t="e">
        <f>IF(D505=0,0,VLOOKUP($F$23,'Анализ стоимости'!$A$4:$DK$59,75,0)*100+100)</f>
        <v>#N/A</v>
      </c>
      <c r="J503" s="136" t="e">
        <f t="shared" ref="J503:J505" si="98">IF(D503=0,"",1)</f>
        <v>#N/A</v>
      </c>
    </row>
    <row r="504" spans="1:10">
      <c r="A504" s="252" t="e">
        <f>IF(D504=0,0,IF(D503=0,A502+1,A503+1))</f>
        <v>#N/A</v>
      </c>
      <c r="B504" s="253" t="s">
        <v>154</v>
      </c>
      <c r="C504" s="252" t="s">
        <v>156</v>
      </c>
      <c r="D504" s="257" t="e">
        <f>VLOOKUP($F$23,'Анализ стоимости'!$A$4:$DK$59,51,0)</f>
        <v>#N/A</v>
      </c>
      <c r="J504" s="136" t="e">
        <f t="shared" si="98"/>
        <v>#N/A</v>
      </c>
    </row>
    <row r="505" spans="1:10">
      <c r="A505" s="252" t="e">
        <f>IF(D505=0,0,IF(D504=0,A503+1,A504+1))</f>
        <v>#N/A</v>
      </c>
      <c r="B505" s="253" t="s">
        <v>155</v>
      </c>
      <c r="C505" s="252" t="s">
        <v>156</v>
      </c>
      <c r="D505" s="257" t="e">
        <f>VLOOKUP($F$23,'Анализ стоимости'!$A$4:$DK$59,61,0)</f>
        <v>#N/A</v>
      </c>
      <c r="J505" s="136" t="e">
        <f t="shared" si="98"/>
        <v>#N/A</v>
      </c>
    </row>
    <row r="506" spans="1:10">
      <c r="A506" s="294" t="s">
        <v>157</v>
      </c>
      <c r="B506" s="294"/>
      <c r="C506" s="294"/>
      <c r="D506" s="294"/>
      <c r="J506" s="136" t="str">
        <f>IF($F$23=0,"",1)</f>
        <v/>
      </c>
    </row>
    <row r="507" spans="1:10" ht="31.5">
      <c r="A507" s="252" t="e">
        <f>IF(D507=0,0,IF(D505=0,IF(D504=0,A501+1,A504+1),A505+1))</f>
        <v>#N/A</v>
      </c>
      <c r="B507" s="258" t="s">
        <v>206</v>
      </c>
      <c r="C507" s="252" t="s">
        <v>156</v>
      </c>
      <c r="D507" s="257" t="e">
        <f>SUM(VLOOKUP($F$23,'Анализ стоимости'!$A$4:$DK$59,46,0),D504)</f>
        <v>#N/A</v>
      </c>
      <c r="E507" s="136"/>
      <c r="J507" s="136" t="e">
        <f t="shared" ref="J507:J513" si="99">IF(D507=0,"",1)</f>
        <v>#N/A</v>
      </c>
    </row>
    <row r="508" spans="1:10">
      <c r="A508" s="252" t="e">
        <f>IF(D508=0,0,A507+1)</f>
        <v>#N/A</v>
      </c>
      <c r="B508" s="258" t="s">
        <v>159</v>
      </c>
      <c r="C508" s="252" t="s">
        <v>156</v>
      </c>
      <c r="D508" s="257" t="e">
        <f>VLOOKUP($F$23,'Анализ стоимости'!$A$4:$DK$59,56,0)</f>
        <v>#N/A</v>
      </c>
      <c r="E508" s="136"/>
      <c r="J508" s="136" t="e">
        <f t="shared" si="99"/>
        <v>#N/A</v>
      </c>
    </row>
    <row r="509" spans="1:10">
      <c r="A509" s="252" t="e">
        <f>IF(D509=0,0,A508+1)</f>
        <v>#N/A</v>
      </c>
      <c r="B509" s="258" t="s">
        <v>205</v>
      </c>
      <c r="C509" s="252" t="s">
        <v>156</v>
      </c>
      <c r="D509" s="257" t="e">
        <f>SUM(D507:D508)</f>
        <v>#N/A</v>
      </c>
      <c r="E509" s="254" t="e">
        <f>VLOOKUP($F$23,'Анализ стоимости'!$A$4:$DK$59,76,0)</f>
        <v>#N/A</v>
      </c>
      <c r="J509" s="136" t="e">
        <f t="shared" si="99"/>
        <v>#N/A</v>
      </c>
    </row>
    <row r="510" spans="1:10" ht="31.5">
      <c r="A510" s="252" t="e">
        <f>IF(D510=0,0,IF(D509=0,IF(D505=0,A501+1,A505+1),A509+1))</f>
        <v>#N/A</v>
      </c>
      <c r="B510" s="258" t="s">
        <v>204</v>
      </c>
      <c r="C510" s="252" t="s">
        <v>156</v>
      </c>
      <c r="D510" s="257" t="e">
        <f>VLOOKUP($F$23,'Анализ стоимости'!$A$4:$DK$59,41,0)-VLOOKUP($F$23,'Анализ стоимости'!$A$4:$DK$59,46,0)+D505</f>
        <v>#N/A</v>
      </c>
      <c r="J510" s="136" t="e">
        <f t="shared" si="99"/>
        <v>#N/A</v>
      </c>
    </row>
    <row r="511" spans="1:10">
      <c r="A511" s="252" t="e">
        <f>IF(D511=0,0,A510+1)</f>
        <v>#N/A</v>
      </c>
      <c r="B511" s="258" t="s">
        <v>159</v>
      </c>
      <c r="C511" s="252" t="s">
        <v>156</v>
      </c>
      <c r="D511" s="257" t="e">
        <f>VLOOKUP($F$23,'Анализ стоимости'!$A$4:$DK$59,66,0)</f>
        <v>#N/A</v>
      </c>
      <c r="J511" s="136" t="e">
        <f t="shared" si="99"/>
        <v>#N/A</v>
      </c>
    </row>
    <row r="512" spans="1:10">
      <c r="A512" s="252" t="e">
        <f>IF(D512=0,0,A511+1)</f>
        <v>#N/A</v>
      </c>
      <c r="B512" s="258" t="s">
        <v>203</v>
      </c>
      <c r="C512" s="252" t="s">
        <v>156</v>
      </c>
      <c r="D512" s="257" t="e">
        <f>SUM(D510:D511)</f>
        <v>#N/A</v>
      </c>
      <c r="E512" s="254" t="e">
        <f>VLOOKUP($F$23,'Анализ стоимости'!$A$4:$DK$59,77,0)</f>
        <v>#N/A</v>
      </c>
      <c r="J512" s="136" t="e">
        <f t="shared" si="99"/>
        <v>#N/A</v>
      </c>
    </row>
    <row r="513" spans="1:10">
      <c r="A513" s="252" t="e">
        <f>IF(D513=0,0,A512+1)</f>
        <v>#N/A</v>
      </c>
      <c r="B513" s="258" t="s">
        <v>158</v>
      </c>
      <c r="C513" s="252" t="s">
        <v>156</v>
      </c>
      <c r="D513" s="257" t="e">
        <f>IF(OR(D509=0,D512=0),0,D512+D509)</f>
        <v>#N/A</v>
      </c>
      <c r="E513" s="254" t="e">
        <f>VLOOKUP($F$23,'Анализ стоимости'!$A$4:$DK$59,67,0)</f>
        <v>#N/A</v>
      </c>
      <c r="J513" s="136" t="e">
        <f t="shared" si="99"/>
        <v>#N/A</v>
      </c>
    </row>
    <row r="514" spans="1:10">
      <c r="A514" s="262"/>
      <c r="B514" s="262"/>
      <c r="C514" s="262"/>
      <c r="D514" s="263"/>
      <c r="J514" s="136" t="str">
        <f>IF($F$23=0,"",1)</f>
        <v/>
      </c>
    </row>
    <row r="515" spans="1:10" ht="31.5" customHeight="1">
      <c r="A515" s="289" t="str">
        <f>'Анализ стоимости'!M$52</f>
        <v>Заместитель главы Вышестеблиевского сельского поселения Темрюкского района</v>
      </c>
      <c r="B515" s="290"/>
      <c r="C515" s="264"/>
      <c r="D515" s="265" t="str">
        <f>CONCATENATE("_____________________ ",'Анализ стоимости'!M$53)</f>
        <v>_____________________ Н.Д.Шевченко</v>
      </c>
      <c r="G515" s="267" t="str">
        <f>A515</f>
        <v>Заместитель главы Вышестеблиевского сельского поселения Темрюкского района</v>
      </c>
      <c r="J515" s="136" t="str">
        <f>IF($F$12=0,"",1)</f>
        <v/>
      </c>
    </row>
    <row r="516" spans="1:10" s="237" customFormat="1" ht="5.25">
      <c r="A516" s="269"/>
      <c r="B516" s="269"/>
      <c r="C516" s="269"/>
      <c r="D516" s="270"/>
      <c r="G516" s="238"/>
      <c r="H516" s="238"/>
      <c r="I516" s="273"/>
      <c r="J516" s="277" t="str">
        <f>IF($F$12=0,"",1)</f>
        <v/>
      </c>
    </row>
    <row r="517" spans="1:10">
      <c r="A517" s="291">
        <f ca="1">TODAY()</f>
        <v>41941</v>
      </c>
      <c r="B517" s="291"/>
      <c r="C517" s="224"/>
      <c r="D517" s="224"/>
      <c r="J517" s="136" t="str">
        <f>IF($F$23=0,"",1)</f>
        <v/>
      </c>
    </row>
    <row r="518" spans="1:10">
      <c r="A518" s="295" t="s">
        <v>184</v>
      </c>
      <c r="B518" s="295"/>
      <c r="C518" s="295"/>
      <c r="D518" s="295"/>
      <c r="G518" s="226"/>
      <c r="H518" s="226"/>
      <c r="J518" s="136" t="str">
        <f t="shared" ref="J518:J535" si="100">IF($F$24=0,"",1)</f>
        <v/>
      </c>
    </row>
    <row r="519" spans="1:10">
      <c r="A519" s="296" t="e">
        <f>CONCATENATE("Наименование объекта: ",VLOOKUP($F$24,'Анализ стоимости'!$A$4:$DK$59,11+2,0))</f>
        <v>#N/A</v>
      </c>
      <c r="B519" s="296"/>
      <c r="C519" s="296"/>
      <c r="D519" s="296"/>
      <c r="I519" s="276" t="e">
        <f>A519</f>
        <v>#N/A</v>
      </c>
      <c r="J519" s="136" t="str">
        <f t="shared" si="100"/>
        <v/>
      </c>
    </row>
    <row r="520" spans="1:10" s="237" customFormat="1" ht="5.25">
      <c r="A520" s="246"/>
      <c r="B520" s="235"/>
      <c r="C520" s="235"/>
      <c r="D520" s="235"/>
      <c r="G520" s="238"/>
      <c r="H520" s="238"/>
      <c r="I520" s="273"/>
      <c r="J520" s="277" t="str">
        <f t="shared" si="100"/>
        <v/>
      </c>
    </row>
    <row r="521" spans="1:10">
      <c r="A521" s="248" t="s">
        <v>149</v>
      </c>
      <c r="B521" s="241"/>
      <c r="C521" s="241"/>
      <c r="D521" s="241"/>
      <c r="J521" s="136" t="str">
        <f t="shared" si="100"/>
        <v/>
      </c>
    </row>
    <row r="522" spans="1:10">
      <c r="A522" s="297" t="s">
        <v>150</v>
      </c>
      <c r="B522" s="297"/>
      <c r="C522" s="297"/>
      <c r="D522" s="297"/>
      <c r="J522" s="136" t="str">
        <f t="shared" si="100"/>
        <v/>
      </c>
    </row>
    <row r="523" spans="1:10" ht="47.25" customHeight="1">
      <c r="A523" s="249" t="s">
        <v>53</v>
      </c>
      <c r="B523" s="249" t="s">
        <v>87</v>
      </c>
      <c r="C523" s="298" t="e">
        <f>CONCATENATE("Стоимость  согласно сметной документации (руб.) в текущих ценах по состоянию на ",VLOOKUP($F$24,'Анализ стоимости'!$A$4:$BY$59,6+2,0)," г.")</f>
        <v>#N/A</v>
      </c>
      <c r="D523" s="299"/>
      <c r="H523" s="250" t="e">
        <f>C523</f>
        <v>#N/A</v>
      </c>
      <c r="J523" s="136" t="str">
        <f t="shared" si="100"/>
        <v/>
      </c>
    </row>
    <row r="524" spans="1:10">
      <c r="A524" s="252">
        <v>1</v>
      </c>
      <c r="B524" s="253" t="s">
        <v>28</v>
      </c>
      <c r="C524" s="292" t="e">
        <f>VLOOKUP($F$24,'Анализ стоимости'!$A$4:$BY$59,12+2,0)</f>
        <v>#N/A</v>
      </c>
      <c r="D524" s="293"/>
      <c r="J524" s="136" t="str">
        <f t="shared" si="100"/>
        <v/>
      </c>
    </row>
    <row r="525" spans="1:10">
      <c r="A525" s="252">
        <v>2</v>
      </c>
      <c r="B525" s="253" t="s">
        <v>23</v>
      </c>
      <c r="C525" s="292" t="e">
        <f>VLOOKUP($F$24,'Анализ стоимости'!$A$4:$DK$59,13+2,0)</f>
        <v>#N/A</v>
      </c>
      <c r="D525" s="293"/>
      <c r="J525" s="136" t="str">
        <f t="shared" si="100"/>
        <v/>
      </c>
    </row>
    <row r="526" spans="1:10" ht="31.5">
      <c r="A526" s="252">
        <v>3</v>
      </c>
      <c r="B526" s="253" t="s">
        <v>2</v>
      </c>
      <c r="C526" s="292" t="e">
        <f>VLOOKUP($F$24,'Анализ стоимости'!$A$4:$DK$59,14+2,0)</f>
        <v>#N/A</v>
      </c>
      <c r="D526" s="293"/>
      <c r="J526" s="136" t="str">
        <f t="shared" si="100"/>
        <v/>
      </c>
    </row>
    <row r="527" spans="1:10">
      <c r="A527" s="252">
        <v>4</v>
      </c>
      <c r="B527" s="253" t="s">
        <v>24</v>
      </c>
      <c r="C527" s="292" t="e">
        <f>VLOOKUP($F$24,'Анализ стоимости'!$A$4:$DK$59,15+2,0)</f>
        <v>#N/A</v>
      </c>
      <c r="D527" s="293"/>
      <c r="J527" s="136" t="str">
        <f t="shared" si="100"/>
        <v/>
      </c>
    </row>
    <row r="528" spans="1:10">
      <c r="A528" s="252">
        <v>5</v>
      </c>
      <c r="B528" s="253" t="s">
        <v>5</v>
      </c>
      <c r="C528" s="292" t="e">
        <f>VLOOKUP($F$24,'Анализ стоимости'!$A$4:$DK$59,16+2,0)</f>
        <v>#N/A</v>
      </c>
      <c r="D528" s="293"/>
      <c r="J528" s="136" t="str">
        <f t="shared" si="100"/>
        <v/>
      </c>
    </row>
    <row r="529" spans="1:10">
      <c r="A529" s="252">
        <v>6</v>
      </c>
      <c r="B529" s="253" t="s">
        <v>10</v>
      </c>
      <c r="C529" s="292" t="e">
        <f>VLOOKUP($F$24,'Анализ стоимости'!$A$4:$DK$59,20+2,0)</f>
        <v>#N/A</v>
      </c>
      <c r="D529" s="293"/>
      <c r="J529" s="136" t="str">
        <f t="shared" si="100"/>
        <v/>
      </c>
    </row>
    <row r="530" spans="1:10">
      <c r="A530" s="252">
        <v>7</v>
      </c>
      <c r="B530" s="253" t="s">
        <v>79</v>
      </c>
      <c r="C530" s="292" t="e">
        <f>VLOOKUP($F$24,'Анализ стоимости'!$A$4:$DK$59,21+2,0)+VLOOKUP($F$24,'Анализ стоимости'!$A$4:$DK$59,23+2,0)+VLOOKUP($F$24,'Анализ стоимости'!$A$4:$DK$59,24+2,0)+VLOOKUP($F$24,'Анализ стоимости'!$A$4:$DK$59,25+2,0)+VLOOKUP($F$24,'Анализ стоимости'!$A$4:$DK$59,26+2,0)+VLOOKUP($F$24,'Анализ стоимости'!$A$4:$DK$59,27+2,0)+VLOOKUP($F$24,'Анализ стоимости'!$A$4:$DK$59,28+2,0)+VLOOKUP($F$24,'Анализ стоимости'!$A$4:$DK$59,29+2,0)</f>
        <v>#N/A</v>
      </c>
      <c r="D530" s="293"/>
      <c r="J530" s="136" t="str">
        <f t="shared" si="100"/>
        <v/>
      </c>
    </row>
    <row r="531" spans="1:10">
      <c r="A531" s="252">
        <v>8</v>
      </c>
      <c r="B531" s="253" t="s">
        <v>46</v>
      </c>
      <c r="C531" s="292" t="e">
        <f>VLOOKUP($F$24,'Анализ стоимости'!$A$4:$DK$59,34+2,0)</f>
        <v>#N/A</v>
      </c>
      <c r="D531" s="293"/>
      <c r="J531" s="136" t="str">
        <f t="shared" si="100"/>
        <v/>
      </c>
    </row>
    <row r="532" spans="1:10">
      <c r="A532" s="252">
        <v>9</v>
      </c>
      <c r="B532" s="253" t="s">
        <v>169</v>
      </c>
      <c r="C532" s="292" t="e">
        <f>SUM(C524:D531)</f>
        <v>#N/A</v>
      </c>
      <c r="D532" s="293"/>
      <c r="J532" s="136" t="str">
        <f t="shared" si="100"/>
        <v/>
      </c>
    </row>
    <row r="533" spans="1:10">
      <c r="A533" s="294" t="s">
        <v>161</v>
      </c>
      <c r="B533" s="294"/>
      <c r="C533" s="294"/>
      <c r="D533" s="294"/>
      <c r="J533" s="136" t="str">
        <f t="shared" si="100"/>
        <v/>
      </c>
    </row>
    <row r="534" spans="1:10" ht="31.5">
      <c r="A534" s="255" t="s">
        <v>53</v>
      </c>
      <c r="B534" s="249" t="s">
        <v>15</v>
      </c>
      <c r="C534" s="249" t="s">
        <v>152</v>
      </c>
      <c r="D534" s="249" t="s">
        <v>88</v>
      </c>
      <c r="J534" s="136" t="str">
        <f t="shared" si="100"/>
        <v/>
      </c>
    </row>
    <row r="535" spans="1:10">
      <c r="A535" s="252">
        <v>10</v>
      </c>
      <c r="B535" s="252" t="e">
        <f>VLOOKUP((VLOOKUP($F$24,'Анализ стоимости'!$A$4:$BY$59,12,0)),'Расчет инфляции'!$BD$5:$BE$22,2,0)</f>
        <v>#N/A</v>
      </c>
      <c r="C535" s="252"/>
      <c r="D535" s="253"/>
      <c r="J535" s="136" t="str">
        <f t="shared" si="100"/>
        <v/>
      </c>
    </row>
    <row r="536" spans="1:10">
      <c r="A536" s="252" t="e">
        <f>IF(D536=0,0,A535+1)</f>
        <v>#N/A</v>
      </c>
      <c r="B536" s="253" t="e">
        <f>CONCATENATE("2014 г. (",CHOOSE(VLOOKUP($F$24,'Анализ стоимости'!$A$4:$DK$90,68,0),"Январь","Февраль","Март","Апрель","Май","Июнь","Июль","Август","Сентябрь","Октябрь","Ноябрь","Декабрь")," - ",CHOOSE(VLOOKUP($F$24,'Анализ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536" s="252" t="s">
        <v>153</v>
      </c>
      <c r="D536" s="278" t="e">
        <f>IF(D538=0,0,VLOOKUP($F$24,'Анализ стоимости'!$A$4:$DK$59,74,0)*100+100)</f>
        <v>#N/A</v>
      </c>
      <c r="J536" s="136" t="e">
        <f>IF(D536=0,"",1)</f>
        <v>#N/A</v>
      </c>
    </row>
    <row r="537" spans="1:10">
      <c r="A537" s="252" t="e">
        <f>IF(D537=0,0,IF(D536=0,A535+1,A536+1))</f>
        <v>#N/A</v>
      </c>
      <c r="B537" s="253" t="e">
        <f>CONCATENATE("2015 г. (",CHOOSE(VLOOKUP($F$24,'Анализ стоимости'!$A$4:$DK$90,70,0),"Январь","Февраль","Март","Апрель","Май","Июнь","Июль","Август","Сентябрь","Октябрь","Ноябрь","Декабрь")," - ",CHOOSE(VLOOKUP($F$24,'Анализ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537" s="252" t="s">
        <v>153</v>
      </c>
      <c r="D537" s="278" t="e">
        <f>IF(D539=0,0,VLOOKUP($F$24,'Анализ стоимости'!$A$4:$DK$59,75,0)*100+100)</f>
        <v>#N/A</v>
      </c>
      <c r="J537" s="136" t="e">
        <f t="shared" ref="J537:J539" si="101">IF(D537=0,"",1)</f>
        <v>#N/A</v>
      </c>
    </row>
    <row r="538" spans="1:10">
      <c r="A538" s="252" t="e">
        <f>IF(D538=0,0,IF(D537=0,A536+1,A537+1))</f>
        <v>#N/A</v>
      </c>
      <c r="B538" s="253" t="s">
        <v>154</v>
      </c>
      <c r="C538" s="252" t="s">
        <v>156</v>
      </c>
      <c r="D538" s="257" t="e">
        <f>VLOOKUP($F$24,'Анализ стоимости'!$A$4:$DK$59,51,0)</f>
        <v>#N/A</v>
      </c>
      <c r="J538" s="136" t="e">
        <f t="shared" si="101"/>
        <v>#N/A</v>
      </c>
    </row>
    <row r="539" spans="1:10">
      <c r="A539" s="252" t="e">
        <f>IF(D539=0,0,IF(D538=0,A537+1,A538+1))</f>
        <v>#N/A</v>
      </c>
      <c r="B539" s="253" t="s">
        <v>155</v>
      </c>
      <c r="C539" s="252" t="s">
        <v>156</v>
      </c>
      <c r="D539" s="257" t="e">
        <f>VLOOKUP($F$24,'Анализ стоимости'!$A$4:$DK$59,61,0)</f>
        <v>#N/A</v>
      </c>
      <c r="J539" s="136" t="e">
        <f t="shared" si="101"/>
        <v>#N/A</v>
      </c>
    </row>
    <row r="540" spans="1:10">
      <c r="A540" s="294" t="s">
        <v>157</v>
      </c>
      <c r="B540" s="294"/>
      <c r="C540" s="294"/>
      <c r="D540" s="294"/>
      <c r="J540" s="136" t="str">
        <f>IF($F$24=0,"",1)</f>
        <v/>
      </c>
    </row>
    <row r="541" spans="1:10" ht="31.5">
      <c r="A541" s="252" t="e">
        <f>IF(D541=0,0,IF(D539=0,IF(D538=0,A535+1,A538+1),A539+1))</f>
        <v>#N/A</v>
      </c>
      <c r="B541" s="258" t="s">
        <v>206</v>
      </c>
      <c r="C541" s="252" t="s">
        <v>156</v>
      </c>
      <c r="D541" s="257" t="e">
        <f>SUM(VLOOKUP($F$24,'Анализ стоимости'!$A$4:$DK$59,46,0),D538)</f>
        <v>#N/A</v>
      </c>
      <c r="E541" s="136"/>
      <c r="J541" s="136" t="e">
        <f t="shared" ref="J541:J547" si="102">IF(D541=0,"",1)</f>
        <v>#N/A</v>
      </c>
    </row>
    <row r="542" spans="1:10">
      <c r="A542" s="252" t="e">
        <f>IF(D542=0,0,A541+1)</f>
        <v>#N/A</v>
      </c>
      <c r="B542" s="258" t="s">
        <v>159</v>
      </c>
      <c r="C542" s="252" t="s">
        <v>156</v>
      </c>
      <c r="D542" s="257" t="e">
        <f>VLOOKUP($F$24,'Анализ стоимости'!$A$4:$DK$59,56,0)</f>
        <v>#N/A</v>
      </c>
      <c r="E542" s="136"/>
      <c r="J542" s="136" t="e">
        <f t="shared" si="102"/>
        <v>#N/A</v>
      </c>
    </row>
    <row r="543" spans="1:10">
      <c r="A543" s="252" t="e">
        <f>IF(D543=0,0,A542+1)</f>
        <v>#N/A</v>
      </c>
      <c r="B543" s="258" t="s">
        <v>205</v>
      </c>
      <c r="C543" s="252" t="s">
        <v>156</v>
      </c>
      <c r="D543" s="257" t="e">
        <f>SUM(D541:D542)</f>
        <v>#N/A</v>
      </c>
      <c r="E543" s="254" t="e">
        <f>VLOOKUP($F$24,'Анализ стоимости'!$A$4:$DK$59,76,0)</f>
        <v>#N/A</v>
      </c>
      <c r="J543" s="136" t="e">
        <f t="shared" si="102"/>
        <v>#N/A</v>
      </c>
    </row>
    <row r="544" spans="1:10" ht="31.5">
      <c r="A544" s="252" t="e">
        <f>IF(D544=0,0,IF(D543=0,IF(D539=0,A535+1,A539+1),A543+1))</f>
        <v>#N/A</v>
      </c>
      <c r="B544" s="258" t="s">
        <v>204</v>
      </c>
      <c r="C544" s="252" t="s">
        <v>156</v>
      </c>
      <c r="D544" s="257" t="e">
        <f>VLOOKUP($F$24,'Анализ стоимости'!$A$4:$DK$59,41,0)-VLOOKUP($F$24,'Анализ стоимости'!$A$4:$DK$59,46,0)+D539</f>
        <v>#N/A</v>
      </c>
      <c r="J544" s="136" t="e">
        <f t="shared" si="102"/>
        <v>#N/A</v>
      </c>
    </row>
    <row r="545" spans="1:10">
      <c r="A545" s="252" t="e">
        <f>IF(D545=0,0,A544+1)</f>
        <v>#N/A</v>
      </c>
      <c r="B545" s="258" t="s">
        <v>159</v>
      </c>
      <c r="C545" s="252" t="s">
        <v>156</v>
      </c>
      <c r="D545" s="257" t="e">
        <f>VLOOKUP($F$24,'Анализ стоимости'!$A$4:$DK$59,66,0)</f>
        <v>#N/A</v>
      </c>
      <c r="J545" s="136" t="e">
        <f t="shared" si="102"/>
        <v>#N/A</v>
      </c>
    </row>
    <row r="546" spans="1:10">
      <c r="A546" s="252" t="e">
        <f>IF(D546=0,0,A545+1)</f>
        <v>#N/A</v>
      </c>
      <c r="B546" s="258" t="s">
        <v>203</v>
      </c>
      <c r="C546" s="252" t="s">
        <v>156</v>
      </c>
      <c r="D546" s="257" t="e">
        <f>SUM(D544:D545)</f>
        <v>#N/A</v>
      </c>
      <c r="E546" s="254" t="e">
        <f>VLOOKUP($F$24,'Анализ стоимости'!$A$4:$DK$59,77,0)</f>
        <v>#N/A</v>
      </c>
      <c r="J546" s="136" t="e">
        <f t="shared" si="102"/>
        <v>#N/A</v>
      </c>
    </row>
    <row r="547" spans="1:10">
      <c r="A547" s="252" t="e">
        <f>IF(D547=0,0,A546+1)</f>
        <v>#N/A</v>
      </c>
      <c r="B547" s="258" t="s">
        <v>158</v>
      </c>
      <c r="C547" s="252" t="s">
        <v>156</v>
      </c>
      <c r="D547" s="257" t="e">
        <f>IF(OR(D543=0,D546=0),0,D546+D543)</f>
        <v>#N/A</v>
      </c>
      <c r="E547" s="254" t="e">
        <f>VLOOKUP($F$24,'Анализ стоимости'!$A$4:$DK$59,67,0)</f>
        <v>#N/A</v>
      </c>
      <c r="J547" s="136" t="e">
        <f t="shared" si="102"/>
        <v>#N/A</v>
      </c>
    </row>
    <row r="548" spans="1:10">
      <c r="A548" s="262"/>
      <c r="B548" s="262"/>
      <c r="C548" s="262"/>
      <c r="D548" s="263"/>
      <c r="J548" s="136" t="str">
        <f>IF($F$24=0,"",1)</f>
        <v/>
      </c>
    </row>
    <row r="549" spans="1:10" ht="31.5" customHeight="1">
      <c r="A549" s="289" t="str">
        <f>'Анализ стоимости'!M$52</f>
        <v>Заместитель главы Вышестеблиевского сельского поселения Темрюкского района</v>
      </c>
      <c r="B549" s="290"/>
      <c r="C549" s="264"/>
      <c r="D549" s="265" t="str">
        <f>CONCATENATE("_____________________ ",'Анализ стоимости'!M$53)</f>
        <v>_____________________ Н.Д.Шевченко</v>
      </c>
      <c r="G549" s="267" t="str">
        <f>A549</f>
        <v>Заместитель главы Вышестеблиевского сельского поселения Темрюкского района</v>
      </c>
      <c r="J549" s="136" t="str">
        <f>IF($F$12=0,"",1)</f>
        <v/>
      </c>
    </row>
    <row r="550" spans="1:10" s="237" customFormat="1" ht="5.25">
      <c r="A550" s="269"/>
      <c r="B550" s="269"/>
      <c r="C550" s="269"/>
      <c r="D550" s="270"/>
      <c r="G550" s="238"/>
      <c r="H550" s="238"/>
      <c r="I550" s="273"/>
      <c r="J550" s="277" t="str">
        <f>IF($F$12=0,"",1)</f>
        <v/>
      </c>
    </row>
    <row r="551" spans="1:10">
      <c r="A551" s="291">
        <f ca="1">TODAY()</f>
        <v>41941</v>
      </c>
      <c r="B551" s="291"/>
      <c r="C551" s="224"/>
      <c r="D551" s="224"/>
      <c r="J551" s="136" t="str">
        <f>IF($F$24=0,"",1)</f>
        <v/>
      </c>
    </row>
    <row r="552" spans="1:10">
      <c r="A552" s="295" t="s">
        <v>185</v>
      </c>
      <c r="B552" s="295"/>
      <c r="C552" s="295"/>
      <c r="D552" s="295"/>
      <c r="G552" s="226"/>
      <c r="H552" s="226"/>
      <c r="J552" s="136" t="str">
        <f t="shared" ref="J552:J569" si="103">IF($F$25=0,"",1)</f>
        <v/>
      </c>
    </row>
    <row r="553" spans="1:10">
      <c r="A553" s="296" t="e">
        <f>CONCATENATE("Наименование объекта: ",VLOOKUP($F$25,'Анализ стоимости'!$A$4:$DK$59,11+2,0))</f>
        <v>#N/A</v>
      </c>
      <c r="B553" s="296"/>
      <c r="C553" s="296"/>
      <c r="D553" s="296"/>
      <c r="I553" s="276" t="e">
        <f>A553</f>
        <v>#N/A</v>
      </c>
      <c r="J553" s="136" t="str">
        <f t="shared" si="103"/>
        <v/>
      </c>
    </row>
    <row r="554" spans="1:10" s="237" customFormat="1" ht="5.25">
      <c r="A554" s="246"/>
      <c r="B554" s="235"/>
      <c r="C554" s="235"/>
      <c r="D554" s="235"/>
      <c r="G554" s="238"/>
      <c r="H554" s="238"/>
      <c r="I554" s="273"/>
      <c r="J554" s="277" t="str">
        <f t="shared" si="103"/>
        <v/>
      </c>
    </row>
    <row r="555" spans="1:10">
      <c r="A555" s="248" t="s">
        <v>149</v>
      </c>
      <c r="B555" s="241"/>
      <c r="C555" s="241"/>
      <c r="D555" s="241"/>
      <c r="J555" s="136" t="str">
        <f t="shared" si="103"/>
        <v/>
      </c>
    </row>
    <row r="556" spans="1:10">
      <c r="A556" s="297" t="s">
        <v>150</v>
      </c>
      <c r="B556" s="297"/>
      <c r="C556" s="297"/>
      <c r="D556" s="297"/>
      <c r="J556" s="136" t="str">
        <f t="shared" si="103"/>
        <v/>
      </c>
    </row>
    <row r="557" spans="1:10" ht="47.25" customHeight="1">
      <c r="A557" s="249" t="s">
        <v>53</v>
      </c>
      <c r="B557" s="249" t="s">
        <v>87</v>
      </c>
      <c r="C557" s="298" t="e">
        <f>CONCATENATE("Стоимость  согласно сметной документации (руб.) в текущих ценах по состоянию на ",VLOOKUP($F$25,'Анализ стоимости'!$A$4:$BY$59,6+2,0)," г.")</f>
        <v>#N/A</v>
      </c>
      <c r="D557" s="299"/>
      <c r="H557" s="250" t="e">
        <f>C557</f>
        <v>#N/A</v>
      </c>
      <c r="J557" s="136" t="str">
        <f t="shared" si="103"/>
        <v/>
      </c>
    </row>
    <row r="558" spans="1:10">
      <c r="A558" s="252">
        <v>1</v>
      </c>
      <c r="B558" s="253" t="s">
        <v>28</v>
      </c>
      <c r="C558" s="292" t="e">
        <f>VLOOKUP($F$25,'Анализ стоимости'!$A$4:$BY$59,12+2,0)</f>
        <v>#N/A</v>
      </c>
      <c r="D558" s="293"/>
      <c r="J558" s="136" t="str">
        <f t="shared" si="103"/>
        <v/>
      </c>
    </row>
    <row r="559" spans="1:10">
      <c r="A559" s="252">
        <v>2</v>
      </c>
      <c r="B559" s="253" t="s">
        <v>23</v>
      </c>
      <c r="C559" s="292" t="e">
        <f>VLOOKUP($F$25,'Анализ стоимости'!$A$4:$DK$59,13+2,0)</f>
        <v>#N/A</v>
      </c>
      <c r="D559" s="293"/>
      <c r="J559" s="136" t="str">
        <f t="shared" si="103"/>
        <v/>
      </c>
    </row>
    <row r="560" spans="1:10" ht="31.5">
      <c r="A560" s="252">
        <v>3</v>
      </c>
      <c r="B560" s="253" t="s">
        <v>2</v>
      </c>
      <c r="C560" s="292" t="e">
        <f>VLOOKUP($F$25,'Анализ стоимости'!$A$4:$DK$59,14+2,0)</f>
        <v>#N/A</v>
      </c>
      <c r="D560" s="293"/>
      <c r="J560" s="136" t="str">
        <f t="shared" si="103"/>
        <v/>
      </c>
    </row>
    <row r="561" spans="1:10">
      <c r="A561" s="252">
        <v>4</v>
      </c>
      <c r="B561" s="253" t="s">
        <v>24</v>
      </c>
      <c r="C561" s="292" t="e">
        <f>VLOOKUP($F$25,'Анализ стоимости'!$A$4:$DK$59,15+2,0)</f>
        <v>#N/A</v>
      </c>
      <c r="D561" s="293"/>
      <c r="J561" s="136" t="str">
        <f t="shared" si="103"/>
        <v/>
      </c>
    </row>
    <row r="562" spans="1:10">
      <c r="A562" s="252">
        <v>5</v>
      </c>
      <c r="B562" s="253" t="s">
        <v>5</v>
      </c>
      <c r="C562" s="292" t="e">
        <f>VLOOKUP($F$25,'Анализ стоимости'!$A$4:$DK$59,16+2,0)</f>
        <v>#N/A</v>
      </c>
      <c r="D562" s="293"/>
      <c r="J562" s="136" t="str">
        <f t="shared" si="103"/>
        <v/>
      </c>
    </row>
    <row r="563" spans="1:10">
      <c r="A563" s="252">
        <v>6</v>
      </c>
      <c r="B563" s="253" t="s">
        <v>10</v>
      </c>
      <c r="C563" s="292" t="e">
        <f>VLOOKUP($F$25,'Анализ стоимости'!$A$4:$DK$59,20+2,0)</f>
        <v>#N/A</v>
      </c>
      <c r="D563" s="293"/>
      <c r="J563" s="136" t="str">
        <f t="shared" si="103"/>
        <v/>
      </c>
    </row>
    <row r="564" spans="1:10">
      <c r="A564" s="252">
        <v>7</v>
      </c>
      <c r="B564" s="253" t="s">
        <v>79</v>
      </c>
      <c r="C564" s="292" t="e">
        <f>VLOOKUP($F$25,'Анализ стоимости'!$A$4:$DK$59,21+2,0)+VLOOKUP($F$25,'Анализ стоимости'!$A$4:$DK$59,23+2,0)+VLOOKUP($F$25,'Анализ стоимости'!$A$4:$DK$59,24+2,0)+VLOOKUP($F$25,'Анализ стоимости'!$A$4:$DK$59,25+2,0)+VLOOKUP($F$25,'Анализ стоимости'!$A$4:$DK$59,26+2,0)+VLOOKUP($F$25,'Анализ стоимости'!$A$4:$DK$59,27+2,0)+VLOOKUP($F$25,'Анализ стоимости'!$A$4:$DK$59,28+2,0)+VLOOKUP($F$25,'Анализ стоимости'!$A$4:$DK$59,29+2,0)</f>
        <v>#N/A</v>
      </c>
      <c r="D564" s="293"/>
      <c r="J564" s="136" t="str">
        <f t="shared" si="103"/>
        <v/>
      </c>
    </row>
    <row r="565" spans="1:10">
      <c r="A565" s="252">
        <v>8</v>
      </c>
      <c r="B565" s="253" t="s">
        <v>46</v>
      </c>
      <c r="C565" s="292" t="e">
        <f>VLOOKUP($F$25,'Анализ стоимости'!$A$4:$DK$59,34+2,0)</f>
        <v>#N/A</v>
      </c>
      <c r="D565" s="293"/>
      <c r="J565" s="136" t="str">
        <f t="shared" si="103"/>
        <v/>
      </c>
    </row>
    <row r="566" spans="1:10">
      <c r="A566" s="252">
        <v>9</v>
      </c>
      <c r="B566" s="253" t="s">
        <v>169</v>
      </c>
      <c r="C566" s="292" t="e">
        <f>SUM(C558:D565)</f>
        <v>#N/A</v>
      </c>
      <c r="D566" s="293"/>
      <c r="J566" s="136" t="str">
        <f t="shared" si="103"/>
        <v/>
      </c>
    </row>
    <row r="567" spans="1:10">
      <c r="A567" s="294" t="s">
        <v>161</v>
      </c>
      <c r="B567" s="294"/>
      <c r="C567" s="294"/>
      <c r="D567" s="294"/>
      <c r="J567" s="136" t="str">
        <f t="shared" si="103"/>
        <v/>
      </c>
    </row>
    <row r="568" spans="1:10" ht="31.5">
      <c r="A568" s="255" t="s">
        <v>53</v>
      </c>
      <c r="B568" s="249" t="s">
        <v>15</v>
      </c>
      <c r="C568" s="249" t="s">
        <v>152</v>
      </c>
      <c r="D568" s="249" t="s">
        <v>88</v>
      </c>
      <c r="J568" s="136" t="str">
        <f t="shared" si="103"/>
        <v/>
      </c>
    </row>
    <row r="569" spans="1:10">
      <c r="A569" s="252">
        <v>10</v>
      </c>
      <c r="B569" s="252" t="e">
        <f>VLOOKUP((VLOOKUP($F$25,'Анализ стоимости'!$A$4:$BY$59,12,0)),'Расчет инфляции'!$BD$5:$BE$22,2,0)</f>
        <v>#N/A</v>
      </c>
      <c r="C569" s="252"/>
      <c r="D569" s="253"/>
      <c r="J569" s="136" t="str">
        <f t="shared" si="103"/>
        <v/>
      </c>
    </row>
    <row r="570" spans="1:10">
      <c r="A570" s="252" t="e">
        <f>IF(D570=0,0,A569+1)</f>
        <v>#N/A</v>
      </c>
      <c r="B570" s="253" t="e">
        <f>CONCATENATE("2014 г. (",CHOOSE(VLOOKUP($F$25,'Анализ стоимости'!$A$4:$DK$90,68,0),"Январь","Февраль","Март","Апрель","Май","Июнь","Июль","Август","Сентябрь","Октябрь","Ноябрь","Декабрь")," - ",CHOOSE(VLOOKUP($F$25,'Анализ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570" s="252" t="s">
        <v>153</v>
      </c>
      <c r="D570" s="278" t="e">
        <f>IF(D572=0,0,VLOOKUP($F$25,'Анализ стоимости'!$A$4:$DK$59,74,0)*100+100)</f>
        <v>#N/A</v>
      </c>
      <c r="J570" s="136" t="e">
        <f>IF(D570=0,"",1)</f>
        <v>#N/A</v>
      </c>
    </row>
    <row r="571" spans="1:10">
      <c r="A571" s="252" t="e">
        <f>IF(D571=0,0,IF(D570=0,A569+1,A570+1))</f>
        <v>#N/A</v>
      </c>
      <c r="B571" s="253" t="e">
        <f>CONCATENATE("2015 г. (",CHOOSE(VLOOKUP($F$25,'Анализ стоимости'!$A$4:$DK$90,70,0),"Январь","Февраль","Март","Апрель","Май","Июнь","Июль","Август","Сентябрь","Октябрь","Ноябрь","Декабрь")," - ",CHOOSE(VLOOKUP($F$25,'Анализ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571" s="252" t="s">
        <v>153</v>
      </c>
      <c r="D571" s="278" t="e">
        <f>IF(D573=0,0,VLOOKUP($F$25,'Анализ стоимости'!$A$4:$DK$59,75,0)*100+100)</f>
        <v>#N/A</v>
      </c>
      <c r="J571" s="136" t="e">
        <f t="shared" ref="J571:J573" si="104">IF(D571=0,"",1)</f>
        <v>#N/A</v>
      </c>
    </row>
    <row r="572" spans="1:10">
      <c r="A572" s="252" t="e">
        <f>IF(D572=0,0,IF(D571=0,A570+1,A571+1))</f>
        <v>#N/A</v>
      </c>
      <c r="B572" s="253" t="s">
        <v>154</v>
      </c>
      <c r="C572" s="252" t="s">
        <v>156</v>
      </c>
      <c r="D572" s="257" t="e">
        <f>VLOOKUP($F$25,'Анализ стоимости'!$A$4:$DK$59,51,0)</f>
        <v>#N/A</v>
      </c>
      <c r="J572" s="136" t="e">
        <f t="shared" si="104"/>
        <v>#N/A</v>
      </c>
    </row>
    <row r="573" spans="1:10">
      <c r="A573" s="252" t="e">
        <f>IF(D573=0,0,IF(D572=0,A571+1,A572+1))</f>
        <v>#N/A</v>
      </c>
      <c r="B573" s="253" t="s">
        <v>155</v>
      </c>
      <c r="C573" s="252" t="s">
        <v>156</v>
      </c>
      <c r="D573" s="257" t="e">
        <f>VLOOKUP($F$25,'Анализ стоимости'!$A$4:$DK$59,61,0)</f>
        <v>#N/A</v>
      </c>
      <c r="J573" s="136" t="e">
        <f t="shared" si="104"/>
        <v>#N/A</v>
      </c>
    </row>
    <row r="574" spans="1:10">
      <c r="A574" s="294" t="s">
        <v>157</v>
      </c>
      <c r="B574" s="294"/>
      <c r="C574" s="294"/>
      <c r="D574" s="294"/>
      <c r="J574" s="136" t="str">
        <f>IF($F$25=0,"",1)</f>
        <v/>
      </c>
    </row>
    <row r="575" spans="1:10" ht="31.5">
      <c r="A575" s="252" t="e">
        <f>IF(D575=0,0,IF(D573=0,IF(D572=0,A569+1,A572+1),A573+1))</f>
        <v>#N/A</v>
      </c>
      <c r="B575" s="258" t="s">
        <v>206</v>
      </c>
      <c r="C575" s="252" t="s">
        <v>156</v>
      </c>
      <c r="D575" s="257" t="e">
        <f>SUM(VLOOKUP($F$25,'Анализ стоимости'!$A$4:$DK$59,46,0),D572)</f>
        <v>#N/A</v>
      </c>
      <c r="E575" s="136"/>
      <c r="J575" s="136" t="e">
        <f t="shared" ref="J575:J581" si="105">IF(D575=0,"",1)</f>
        <v>#N/A</v>
      </c>
    </row>
    <row r="576" spans="1:10">
      <c r="A576" s="252" t="e">
        <f>IF(D576=0,0,A575+1)</f>
        <v>#N/A</v>
      </c>
      <c r="B576" s="258" t="s">
        <v>159</v>
      </c>
      <c r="C576" s="252" t="s">
        <v>156</v>
      </c>
      <c r="D576" s="257" t="e">
        <f>VLOOKUP($F$25,'Анализ стоимости'!$A$4:$DK$59,56,0)</f>
        <v>#N/A</v>
      </c>
      <c r="E576" s="136"/>
      <c r="J576" s="136" t="e">
        <f t="shared" si="105"/>
        <v>#N/A</v>
      </c>
    </row>
    <row r="577" spans="1:10">
      <c r="A577" s="252" t="e">
        <f>IF(D577=0,0,A576+1)</f>
        <v>#N/A</v>
      </c>
      <c r="B577" s="258" t="s">
        <v>205</v>
      </c>
      <c r="C577" s="252" t="s">
        <v>156</v>
      </c>
      <c r="D577" s="257" t="e">
        <f>SUM(D575:D576)</f>
        <v>#N/A</v>
      </c>
      <c r="E577" s="254" t="e">
        <f>VLOOKUP($F$25,'Анализ стоимости'!$A$4:$DK$59,76,0)</f>
        <v>#N/A</v>
      </c>
      <c r="J577" s="136" t="e">
        <f t="shared" si="105"/>
        <v>#N/A</v>
      </c>
    </row>
    <row r="578" spans="1:10" ht="31.5">
      <c r="A578" s="252" t="e">
        <f>IF(D578=0,0,IF(D577=0,IF(D573=0,A569+1,A573+1),A577+1))</f>
        <v>#N/A</v>
      </c>
      <c r="B578" s="258" t="s">
        <v>204</v>
      </c>
      <c r="C578" s="252" t="s">
        <v>156</v>
      </c>
      <c r="D578" s="257" t="e">
        <f>VLOOKUP($F$25,'Анализ стоимости'!$A$4:$DK$59,41,0)-VLOOKUP($F$25,'Анализ стоимости'!$A$4:$DK$59,46,0)+D573</f>
        <v>#N/A</v>
      </c>
      <c r="J578" s="136" t="e">
        <f t="shared" si="105"/>
        <v>#N/A</v>
      </c>
    </row>
    <row r="579" spans="1:10">
      <c r="A579" s="252" t="e">
        <f>IF(D579=0,0,A578+1)</f>
        <v>#N/A</v>
      </c>
      <c r="B579" s="258" t="s">
        <v>159</v>
      </c>
      <c r="C579" s="252" t="s">
        <v>156</v>
      </c>
      <c r="D579" s="257" t="e">
        <f>VLOOKUP($F$25,'Анализ стоимости'!$A$4:$DK$59,66,0)</f>
        <v>#N/A</v>
      </c>
      <c r="J579" s="136" t="e">
        <f t="shared" si="105"/>
        <v>#N/A</v>
      </c>
    </row>
    <row r="580" spans="1:10">
      <c r="A580" s="252" t="e">
        <f>IF(D580=0,0,A579+1)</f>
        <v>#N/A</v>
      </c>
      <c r="B580" s="258" t="s">
        <v>203</v>
      </c>
      <c r="C580" s="252" t="s">
        <v>156</v>
      </c>
      <c r="D580" s="257" t="e">
        <f>SUM(D578:D579)</f>
        <v>#N/A</v>
      </c>
      <c r="E580" s="254" t="e">
        <f>VLOOKUP($F$25,'Анализ стоимости'!$A$4:$DK$59,77,0)</f>
        <v>#N/A</v>
      </c>
      <c r="J580" s="136" t="e">
        <f t="shared" si="105"/>
        <v>#N/A</v>
      </c>
    </row>
    <row r="581" spans="1:10">
      <c r="A581" s="252" t="e">
        <f>IF(D581=0,0,A580+1)</f>
        <v>#N/A</v>
      </c>
      <c r="B581" s="258" t="s">
        <v>158</v>
      </c>
      <c r="C581" s="252" t="s">
        <v>156</v>
      </c>
      <c r="D581" s="257" t="e">
        <f>IF(OR(D577=0,D580=0),0,D580+D577)</f>
        <v>#N/A</v>
      </c>
      <c r="E581" s="254" t="e">
        <f>VLOOKUP($F$25,'Анализ стоимости'!$A$4:$DK$59,67,0)</f>
        <v>#N/A</v>
      </c>
      <c r="J581" s="136" t="e">
        <f t="shared" si="105"/>
        <v>#N/A</v>
      </c>
    </row>
    <row r="582" spans="1:10">
      <c r="A582" s="262"/>
      <c r="B582" s="262"/>
      <c r="C582" s="262"/>
      <c r="D582" s="263"/>
      <c r="J582" s="136" t="str">
        <f>IF($F$25=0,"",1)</f>
        <v/>
      </c>
    </row>
    <row r="583" spans="1:10" ht="31.5" customHeight="1">
      <c r="A583" s="289" t="str">
        <f>'Анализ стоимости'!M$52</f>
        <v>Заместитель главы Вышестеблиевского сельского поселения Темрюкского района</v>
      </c>
      <c r="B583" s="290"/>
      <c r="C583" s="264"/>
      <c r="D583" s="265" t="str">
        <f>CONCATENATE("_____________________ ",'Анализ стоимости'!M$53)</f>
        <v>_____________________ Н.Д.Шевченко</v>
      </c>
      <c r="G583" s="267" t="str">
        <f>A583</f>
        <v>Заместитель главы Вышестеблиевского сельского поселения Темрюкского района</v>
      </c>
      <c r="J583" s="136" t="str">
        <f>IF($F$12=0,"",1)</f>
        <v/>
      </c>
    </row>
    <row r="584" spans="1:10" s="237" customFormat="1" ht="5.25">
      <c r="A584" s="269"/>
      <c r="B584" s="269"/>
      <c r="C584" s="269"/>
      <c r="D584" s="270"/>
      <c r="G584" s="238"/>
      <c r="H584" s="238"/>
      <c r="I584" s="273"/>
      <c r="J584" s="277" t="str">
        <f>IF($F$12=0,"",1)</f>
        <v/>
      </c>
    </row>
    <row r="585" spans="1:10">
      <c r="A585" s="291">
        <f ca="1">TODAY()</f>
        <v>41941</v>
      </c>
      <c r="B585" s="291"/>
      <c r="C585" s="224"/>
      <c r="D585" s="224"/>
      <c r="J585" s="136" t="str">
        <f>IF($F$25=0,"",1)</f>
        <v/>
      </c>
    </row>
    <row r="586" spans="1:10">
      <c r="A586" s="295" t="s">
        <v>186</v>
      </c>
      <c r="B586" s="295"/>
      <c r="C586" s="295"/>
      <c r="D586" s="295"/>
      <c r="G586" s="226"/>
      <c r="H586" s="226"/>
      <c r="J586" s="136" t="str">
        <f t="shared" ref="J586:J603" si="106">IF($F$26=0,"",1)</f>
        <v/>
      </c>
    </row>
    <row r="587" spans="1:10">
      <c r="A587" s="296" t="e">
        <f>CONCATENATE("Наименование объекта: ",VLOOKUP($F$26,'Анализ стоимости'!$A$4:$DK$59,11+2,0))</f>
        <v>#N/A</v>
      </c>
      <c r="B587" s="296"/>
      <c r="C587" s="296"/>
      <c r="D587" s="296"/>
      <c r="I587" s="276" t="e">
        <f>A587</f>
        <v>#N/A</v>
      </c>
      <c r="J587" s="136" t="str">
        <f t="shared" si="106"/>
        <v/>
      </c>
    </row>
    <row r="588" spans="1:10" s="237" customFormat="1" ht="5.25">
      <c r="A588" s="246"/>
      <c r="B588" s="235"/>
      <c r="C588" s="235"/>
      <c r="D588" s="235"/>
      <c r="G588" s="238"/>
      <c r="H588" s="238"/>
      <c r="I588" s="273"/>
      <c r="J588" s="277" t="str">
        <f t="shared" si="106"/>
        <v/>
      </c>
    </row>
    <row r="589" spans="1:10">
      <c r="A589" s="248" t="s">
        <v>149</v>
      </c>
      <c r="B589" s="241"/>
      <c r="C589" s="241"/>
      <c r="D589" s="241"/>
      <c r="J589" s="136" t="str">
        <f t="shared" si="106"/>
        <v/>
      </c>
    </row>
    <row r="590" spans="1:10">
      <c r="A590" s="297" t="s">
        <v>150</v>
      </c>
      <c r="B590" s="297"/>
      <c r="C590" s="297"/>
      <c r="D590" s="297"/>
      <c r="J590" s="136" t="str">
        <f t="shared" si="106"/>
        <v/>
      </c>
    </row>
    <row r="591" spans="1:10" ht="47.25" customHeight="1">
      <c r="A591" s="249" t="s">
        <v>53</v>
      </c>
      <c r="B591" s="249" t="s">
        <v>87</v>
      </c>
      <c r="C591" s="298" t="e">
        <f>CONCATENATE("Стоимость  согласно сметной документации (руб.) в текущих ценах по состоянию на ",VLOOKUP($F$26,'Анализ стоимости'!$A$4:$BY$59,6+2,0)," г.")</f>
        <v>#N/A</v>
      </c>
      <c r="D591" s="299"/>
      <c r="H591" s="250" t="e">
        <f>C591</f>
        <v>#N/A</v>
      </c>
      <c r="J591" s="136" t="str">
        <f t="shared" si="106"/>
        <v/>
      </c>
    </row>
    <row r="592" spans="1:10">
      <c r="A592" s="252">
        <v>1</v>
      </c>
      <c r="B592" s="253" t="s">
        <v>28</v>
      </c>
      <c r="C592" s="292" t="e">
        <f>VLOOKUP($F$26,'Анализ стоимости'!$A$4:$BY$59,12+2,0)</f>
        <v>#N/A</v>
      </c>
      <c r="D592" s="293"/>
      <c r="J592" s="136" t="str">
        <f t="shared" si="106"/>
        <v/>
      </c>
    </row>
    <row r="593" spans="1:10">
      <c r="A593" s="252">
        <v>2</v>
      </c>
      <c r="B593" s="253" t="s">
        <v>23</v>
      </c>
      <c r="C593" s="292" t="e">
        <f>VLOOKUP($F$26,'Анализ стоимости'!$A$4:$DK$59,13+2,0)</f>
        <v>#N/A</v>
      </c>
      <c r="D593" s="293"/>
      <c r="J593" s="136" t="str">
        <f t="shared" si="106"/>
        <v/>
      </c>
    </row>
    <row r="594" spans="1:10" ht="31.5">
      <c r="A594" s="252">
        <v>3</v>
      </c>
      <c r="B594" s="253" t="s">
        <v>2</v>
      </c>
      <c r="C594" s="292" t="e">
        <f>VLOOKUP($F$26,'Анализ стоимости'!$A$4:$DK$59,14+2,0)</f>
        <v>#N/A</v>
      </c>
      <c r="D594" s="293"/>
      <c r="J594" s="136" t="str">
        <f t="shared" si="106"/>
        <v/>
      </c>
    </row>
    <row r="595" spans="1:10">
      <c r="A595" s="252">
        <v>4</v>
      </c>
      <c r="B595" s="253" t="s">
        <v>24</v>
      </c>
      <c r="C595" s="292" t="e">
        <f>VLOOKUP($F$26,'Анализ стоимости'!$A$4:$DK$59,15+2,0)</f>
        <v>#N/A</v>
      </c>
      <c r="D595" s="293"/>
      <c r="J595" s="136" t="str">
        <f t="shared" si="106"/>
        <v/>
      </c>
    </row>
    <row r="596" spans="1:10">
      <c r="A596" s="252">
        <v>5</v>
      </c>
      <c r="B596" s="253" t="s">
        <v>5</v>
      </c>
      <c r="C596" s="292" t="e">
        <f>VLOOKUP($F$26,'Анализ стоимости'!$A$4:$DK$59,16+2,0)</f>
        <v>#N/A</v>
      </c>
      <c r="D596" s="293"/>
      <c r="J596" s="136" t="str">
        <f t="shared" si="106"/>
        <v/>
      </c>
    </row>
    <row r="597" spans="1:10">
      <c r="A597" s="252">
        <v>6</v>
      </c>
      <c r="B597" s="253" t="s">
        <v>10</v>
      </c>
      <c r="C597" s="292" t="e">
        <f>VLOOKUP($F$26,'Анализ стоимости'!$A$4:$DK$59,20+2,0)</f>
        <v>#N/A</v>
      </c>
      <c r="D597" s="293"/>
      <c r="J597" s="136" t="str">
        <f t="shared" si="106"/>
        <v/>
      </c>
    </row>
    <row r="598" spans="1:10">
      <c r="A598" s="252">
        <v>7</v>
      </c>
      <c r="B598" s="253" t="s">
        <v>79</v>
      </c>
      <c r="C598" s="292" t="e">
        <f>VLOOKUP($F$26,'Анализ стоимости'!$A$4:$DK$59,21+2,0)+VLOOKUP($F$26,'Анализ стоимости'!$A$4:$DK$59,23+2,0)+VLOOKUP($F$26,'Анализ стоимости'!$A$4:$DK$59,24+2,0)+VLOOKUP($F$26,'Анализ стоимости'!$A$4:$DK$59,25+2,0)+VLOOKUP($F$26,'Анализ стоимости'!$A$4:$DK$59,26+2,0)+VLOOKUP($F$26,'Анализ стоимости'!$A$4:$DK$59,27+2,0)+VLOOKUP($F$26,'Анализ стоимости'!$A$4:$DK$59,28+2,0)+VLOOKUP($F$26,'Анализ стоимости'!$A$4:$DK$59,29+2,0)</f>
        <v>#N/A</v>
      </c>
      <c r="D598" s="293"/>
      <c r="J598" s="136" t="str">
        <f t="shared" si="106"/>
        <v/>
      </c>
    </row>
    <row r="599" spans="1:10">
      <c r="A599" s="252">
        <v>8</v>
      </c>
      <c r="B599" s="253" t="s">
        <v>46</v>
      </c>
      <c r="C599" s="292" t="e">
        <f>VLOOKUP($F$26,'Анализ стоимости'!$A$4:$DK$59,34+2,0)</f>
        <v>#N/A</v>
      </c>
      <c r="D599" s="293"/>
      <c r="J599" s="136" t="str">
        <f t="shared" si="106"/>
        <v/>
      </c>
    </row>
    <row r="600" spans="1:10">
      <c r="A600" s="252">
        <v>9</v>
      </c>
      <c r="B600" s="253" t="s">
        <v>169</v>
      </c>
      <c r="C600" s="292" t="e">
        <f>SUM(C592:D599)</f>
        <v>#N/A</v>
      </c>
      <c r="D600" s="293"/>
      <c r="J600" s="136" t="str">
        <f t="shared" si="106"/>
        <v/>
      </c>
    </row>
    <row r="601" spans="1:10">
      <c r="A601" s="294" t="s">
        <v>161</v>
      </c>
      <c r="B601" s="294"/>
      <c r="C601" s="294"/>
      <c r="D601" s="294"/>
      <c r="J601" s="136" t="str">
        <f t="shared" si="106"/>
        <v/>
      </c>
    </row>
    <row r="602" spans="1:10" ht="31.5">
      <c r="A602" s="255" t="s">
        <v>53</v>
      </c>
      <c r="B602" s="249" t="s">
        <v>15</v>
      </c>
      <c r="C602" s="249" t="s">
        <v>152</v>
      </c>
      <c r="D602" s="249" t="s">
        <v>88</v>
      </c>
      <c r="J602" s="136" t="str">
        <f t="shared" si="106"/>
        <v/>
      </c>
    </row>
    <row r="603" spans="1:10">
      <c r="A603" s="252">
        <v>10</v>
      </c>
      <c r="B603" s="252" t="e">
        <f>VLOOKUP((VLOOKUP($F$26,'Анализ стоимости'!$A$4:$BY$59,12,0)),'Расчет инфляции'!$BD$5:$BE$22,2,0)</f>
        <v>#N/A</v>
      </c>
      <c r="C603" s="252"/>
      <c r="D603" s="253"/>
      <c r="J603" s="136" t="str">
        <f t="shared" si="106"/>
        <v/>
      </c>
    </row>
    <row r="604" spans="1:10">
      <c r="A604" s="252" t="e">
        <f>IF(D604=0,0,A603+1)</f>
        <v>#N/A</v>
      </c>
      <c r="B604" s="253" t="e">
        <f>CONCATENATE("2014 г. (",CHOOSE(VLOOKUP($F$26,'Анализ стоимости'!$A$4:$DK$90,68,0),"Январь","Февраль","Март","Апрель","Май","Июнь","Июль","Август","Сентябрь","Октябрь","Ноябрь","Декабрь")," - ",CHOOSE(VLOOKUP($F$26,'Анализ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604" s="252" t="s">
        <v>153</v>
      </c>
      <c r="D604" s="278" t="e">
        <f>IF(D606=0,0,VLOOKUP($F$26,'Анализ стоимости'!$A$4:$DK$59,74,0)*100+100)</f>
        <v>#N/A</v>
      </c>
      <c r="J604" s="136" t="e">
        <f>IF(D604=0,"",1)</f>
        <v>#N/A</v>
      </c>
    </row>
    <row r="605" spans="1:10">
      <c r="A605" s="252" t="e">
        <f>IF(D605=0,0,IF(D604=0,A603+1,A604+1))</f>
        <v>#N/A</v>
      </c>
      <c r="B605" s="253" t="e">
        <f>CONCATENATE("2015 г. (",CHOOSE(VLOOKUP($F$26,'Анализ стоимости'!$A$4:$DK$90,70,0),"Январь","Февраль","Март","Апрель","Май","Июнь","Июль","Август","Сентябрь","Октябрь","Ноябрь","Декабрь")," - ",CHOOSE(VLOOKUP($F$26,'Анализ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605" s="252" t="s">
        <v>153</v>
      </c>
      <c r="D605" s="278" t="e">
        <f>IF(D607=0,0,VLOOKUP($F$26,'Анализ стоимости'!$A$4:$DK$59,75,0)*100+100)</f>
        <v>#N/A</v>
      </c>
      <c r="J605" s="136" t="e">
        <f t="shared" ref="J605:J607" si="107">IF(D605=0,"",1)</f>
        <v>#N/A</v>
      </c>
    </row>
    <row r="606" spans="1:10">
      <c r="A606" s="252" t="e">
        <f>IF(D606=0,0,IF(D605=0,A604+1,A605+1))</f>
        <v>#N/A</v>
      </c>
      <c r="B606" s="253" t="s">
        <v>154</v>
      </c>
      <c r="C606" s="252" t="s">
        <v>156</v>
      </c>
      <c r="D606" s="257" t="e">
        <f>VLOOKUP($F$26,'Анализ стоимости'!$A$4:$DK$59,51,0)</f>
        <v>#N/A</v>
      </c>
      <c r="J606" s="136" t="e">
        <f t="shared" si="107"/>
        <v>#N/A</v>
      </c>
    </row>
    <row r="607" spans="1:10">
      <c r="A607" s="252" t="e">
        <f>IF(D607=0,0,IF(D606=0,A605+1,A606+1))</f>
        <v>#N/A</v>
      </c>
      <c r="B607" s="253" t="s">
        <v>155</v>
      </c>
      <c r="C607" s="252" t="s">
        <v>156</v>
      </c>
      <c r="D607" s="257" t="e">
        <f>VLOOKUP($F$26,'Анализ стоимости'!$A$4:$DK$59,61,0)</f>
        <v>#N/A</v>
      </c>
      <c r="J607" s="136" t="e">
        <f t="shared" si="107"/>
        <v>#N/A</v>
      </c>
    </row>
    <row r="608" spans="1:10">
      <c r="A608" s="294" t="s">
        <v>157</v>
      </c>
      <c r="B608" s="294"/>
      <c r="C608" s="294"/>
      <c r="D608" s="294"/>
      <c r="J608" s="136" t="str">
        <f>IF($F$26=0,"",1)</f>
        <v/>
      </c>
    </row>
    <row r="609" spans="1:10" ht="31.5">
      <c r="A609" s="252" t="e">
        <f>IF(D609=0,0,IF(D607=0,IF(D606=0,A603+1,A606+1),A607+1))</f>
        <v>#N/A</v>
      </c>
      <c r="B609" s="258" t="s">
        <v>206</v>
      </c>
      <c r="C609" s="252" t="s">
        <v>156</v>
      </c>
      <c r="D609" s="257" t="e">
        <f>SUM(VLOOKUP($F$26,'Анализ стоимости'!$A$4:$DK$59,46,0),D606)</f>
        <v>#N/A</v>
      </c>
      <c r="E609" s="136"/>
      <c r="J609" s="136" t="e">
        <f t="shared" ref="J609:J615" si="108">IF(D609=0,"",1)</f>
        <v>#N/A</v>
      </c>
    </row>
    <row r="610" spans="1:10">
      <c r="A610" s="252" t="e">
        <f>IF(D610=0,0,A609+1)</f>
        <v>#N/A</v>
      </c>
      <c r="B610" s="258" t="s">
        <v>159</v>
      </c>
      <c r="C610" s="252" t="s">
        <v>156</v>
      </c>
      <c r="D610" s="257" t="e">
        <f>VLOOKUP($F$26,'Анализ стоимости'!$A$4:$DK$59,56,0)</f>
        <v>#N/A</v>
      </c>
      <c r="E610" s="136"/>
      <c r="J610" s="136" t="e">
        <f t="shared" si="108"/>
        <v>#N/A</v>
      </c>
    </row>
    <row r="611" spans="1:10">
      <c r="A611" s="252" t="e">
        <f>IF(D611=0,0,A610+1)</f>
        <v>#N/A</v>
      </c>
      <c r="B611" s="258" t="s">
        <v>205</v>
      </c>
      <c r="C611" s="252" t="s">
        <v>156</v>
      </c>
      <c r="D611" s="257" t="e">
        <f>SUM(D609:D610)</f>
        <v>#N/A</v>
      </c>
      <c r="E611" s="254" t="e">
        <f>VLOOKUP($F$26,'Анализ стоимости'!$A$4:$DK$59,76,0)</f>
        <v>#N/A</v>
      </c>
      <c r="J611" s="136" t="e">
        <f t="shared" si="108"/>
        <v>#N/A</v>
      </c>
    </row>
    <row r="612" spans="1:10" ht="31.5">
      <c r="A612" s="252" t="e">
        <f>IF(D612=0,0,IF(D611=0,IF(D607=0,A603+1,A607+1),A611+1))</f>
        <v>#N/A</v>
      </c>
      <c r="B612" s="258" t="s">
        <v>204</v>
      </c>
      <c r="C612" s="252" t="s">
        <v>156</v>
      </c>
      <c r="D612" s="257" t="e">
        <f>VLOOKUP($F$26,'Анализ стоимости'!$A$4:$DK$59,41,0)-VLOOKUP($F$26,'Анализ стоимости'!$A$4:$DK$59,46,0)+D607</f>
        <v>#N/A</v>
      </c>
      <c r="J612" s="136" t="e">
        <f t="shared" si="108"/>
        <v>#N/A</v>
      </c>
    </row>
    <row r="613" spans="1:10">
      <c r="A613" s="252" t="e">
        <f>IF(D613=0,0,A612+1)</f>
        <v>#N/A</v>
      </c>
      <c r="B613" s="258" t="s">
        <v>159</v>
      </c>
      <c r="C613" s="252" t="s">
        <v>156</v>
      </c>
      <c r="D613" s="257" t="e">
        <f>VLOOKUP($F$26,'Анализ стоимости'!$A$4:$DK$59,66,0)</f>
        <v>#N/A</v>
      </c>
      <c r="J613" s="136" t="e">
        <f t="shared" si="108"/>
        <v>#N/A</v>
      </c>
    </row>
    <row r="614" spans="1:10">
      <c r="A614" s="252" t="e">
        <f>IF(D614=0,0,A613+1)</f>
        <v>#N/A</v>
      </c>
      <c r="B614" s="258" t="s">
        <v>203</v>
      </c>
      <c r="C614" s="252" t="s">
        <v>156</v>
      </c>
      <c r="D614" s="257" t="e">
        <f>SUM(D612:D613)</f>
        <v>#N/A</v>
      </c>
      <c r="E614" s="254" t="e">
        <f>VLOOKUP($F$26,'Анализ стоимости'!$A$4:$DK$59,77,0)</f>
        <v>#N/A</v>
      </c>
      <c r="J614" s="136" t="e">
        <f t="shared" si="108"/>
        <v>#N/A</v>
      </c>
    </row>
    <row r="615" spans="1:10">
      <c r="A615" s="252" t="e">
        <f>IF(D615=0,0,A614+1)</f>
        <v>#N/A</v>
      </c>
      <c r="B615" s="258" t="s">
        <v>158</v>
      </c>
      <c r="C615" s="252" t="s">
        <v>156</v>
      </c>
      <c r="D615" s="257" t="e">
        <f>IF(OR(D611=0,D614=0),0,D614+D611)</f>
        <v>#N/A</v>
      </c>
      <c r="E615" s="254" t="e">
        <f>VLOOKUP($F$26,'Анализ стоимости'!$A$4:$DK$59,67,0)</f>
        <v>#N/A</v>
      </c>
      <c r="J615" s="136" t="e">
        <f t="shared" si="108"/>
        <v>#N/A</v>
      </c>
    </row>
    <row r="616" spans="1:10">
      <c r="A616" s="262"/>
      <c r="B616" s="262"/>
      <c r="C616" s="262"/>
      <c r="D616" s="263"/>
      <c r="J616" s="136" t="str">
        <f>IF($F$26=0,"",1)</f>
        <v/>
      </c>
    </row>
    <row r="617" spans="1:10" ht="31.5" customHeight="1">
      <c r="A617" s="289" t="str">
        <f>'Анализ стоимости'!M$52</f>
        <v>Заместитель главы Вышестеблиевского сельского поселения Темрюкского района</v>
      </c>
      <c r="B617" s="290"/>
      <c r="C617" s="264"/>
      <c r="D617" s="265" t="str">
        <f>CONCATENATE("_____________________ ",'Анализ стоимости'!M$53)</f>
        <v>_____________________ Н.Д.Шевченко</v>
      </c>
      <c r="G617" s="267" t="str">
        <f>A617</f>
        <v>Заместитель главы Вышестеблиевского сельского поселения Темрюкского района</v>
      </c>
      <c r="J617" s="136" t="str">
        <f>IF($F$12=0,"",1)</f>
        <v/>
      </c>
    </row>
    <row r="618" spans="1:10" s="237" customFormat="1" ht="5.25">
      <c r="A618" s="269"/>
      <c r="B618" s="269"/>
      <c r="C618" s="269"/>
      <c r="D618" s="270"/>
      <c r="G618" s="238"/>
      <c r="H618" s="238"/>
      <c r="I618" s="273"/>
      <c r="J618" s="277" t="str">
        <f>IF($F$12=0,"",1)</f>
        <v/>
      </c>
    </row>
    <row r="619" spans="1:10">
      <c r="A619" s="291">
        <f ca="1">TODAY()</f>
        <v>41941</v>
      </c>
      <c r="B619" s="291"/>
      <c r="C619" s="224"/>
      <c r="D619" s="224"/>
      <c r="J619" s="136" t="str">
        <f>IF($F$26=0,"",1)</f>
        <v/>
      </c>
    </row>
    <row r="620" spans="1:10">
      <c r="A620" s="295" t="s">
        <v>187</v>
      </c>
      <c r="B620" s="295"/>
      <c r="C620" s="295"/>
      <c r="D620" s="295"/>
      <c r="G620" s="226"/>
      <c r="H620" s="226"/>
      <c r="J620" s="136" t="str">
        <f t="shared" ref="J620:J637" si="109">IF($F$27=0,"",1)</f>
        <v/>
      </c>
    </row>
    <row r="621" spans="1:10">
      <c r="A621" s="296" t="e">
        <f>CONCATENATE("Наименование объекта: ",VLOOKUP($F$27,'Анализ стоимости'!$A$4:$DK$59,11+2,0))</f>
        <v>#N/A</v>
      </c>
      <c r="B621" s="296"/>
      <c r="C621" s="296"/>
      <c r="D621" s="296"/>
      <c r="I621" s="276" t="e">
        <f>A621</f>
        <v>#N/A</v>
      </c>
      <c r="J621" s="136" t="str">
        <f t="shared" si="109"/>
        <v/>
      </c>
    </row>
    <row r="622" spans="1:10" s="237" customFormat="1" ht="5.25">
      <c r="A622" s="246"/>
      <c r="B622" s="235"/>
      <c r="C622" s="235"/>
      <c r="D622" s="235"/>
      <c r="G622" s="238"/>
      <c r="H622" s="238"/>
      <c r="I622" s="273"/>
      <c r="J622" s="277" t="str">
        <f t="shared" si="109"/>
        <v/>
      </c>
    </row>
    <row r="623" spans="1:10">
      <c r="A623" s="248" t="s">
        <v>149</v>
      </c>
      <c r="B623" s="241"/>
      <c r="C623" s="241"/>
      <c r="D623" s="241"/>
      <c r="J623" s="136" t="str">
        <f t="shared" si="109"/>
        <v/>
      </c>
    </row>
    <row r="624" spans="1:10">
      <c r="A624" s="297" t="s">
        <v>150</v>
      </c>
      <c r="B624" s="297"/>
      <c r="C624" s="297"/>
      <c r="D624" s="297"/>
      <c r="J624" s="136" t="str">
        <f t="shared" si="109"/>
        <v/>
      </c>
    </row>
    <row r="625" spans="1:10" ht="47.25" customHeight="1">
      <c r="A625" s="249" t="s">
        <v>53</v>
      </c>
      <c r="B625" s="249" t="s">
        <v>87</v>
      </c>
      <c r="C625" s="298" t="e">
        <f>CONCATENATE("Стоимость  согласно сметной документации (руб.) в текущих ценах по состоянию на ",VLOOKUP($F$27,'Анализ стоимости'!$A$4:$BY$59,6+2,0)," г.")</f>
        <v>#N/A</v>
      </c>
      <c r="D625" s="299"/>
      <c r="H625" s="250" t="e">
        <f>C625</f>
        <v>#N/A</v>
      </c>
      <c r="J625" s="136" t="str">
        <f t="shared" si="109"/>
        <v/>
      </c>
    </row>
    <row r="626" spans="1:10">
      <c r="A626" s="252">
        <v>1</v>
      </c>
      <c r="B626" s="253" t="s">
        <v>28</v>
      </c>
      <c r="C626" s="292" t="e">
        <f>VLOOKUP($F$27,'Анализ стоимости'!$A$4:$BY$59,12+2,0)</f>
        <v>#N/A</v>
      </c>
      <c r="D626" s="293"/>
      <c r="J626" s="136" t="str">
        <f t="shared" si="109"/>
        <v/>
      </c>
    </row>
    <row r="627" spans="1:10">
      <c r="A627" s="252">
        <v>2</v>
      </c>
      <c r="B627" s="253" t="s">
        <v>23</v>
      </c>
      <c r="C627" s="292" t="e">
        <f>VLOOKUP($F$27,'Анализ стоимости'!$A$4:$DK$59,13+2,0)</f>
        <v>#N/A</v>
      </c>
      <c r="D627" s="293"/>
      <c r="J627" s="136" t="str">
        <f t="shared" si="109"/>
        <v/>
      </c>
    </row>
    <row r="628" spans="1:10" ht="31.5">
      <c r="A628" s="252">
        <v>3</v>
      </c>
      <c r="B628" s="253" t="s">
        <v>2</v>
      </c>
      <c r="C628" s="292" t="e">
        <f>VLOOKUP($F$27,'Анализ стоимости'!$A$4:$DK$59,14+2,0)</f>
        <v>#N/A</v>
      </c>
      <c r="D628" s="293"/>
      <c r="J628" s="136" t="str">
        <f t="shared" si="109"/>
        <v/>
      </c>
    </row>
    <row r="629" spans="1:10">
      <c r="A629" s="252">
        <v>4</v>
      </c>
      <c r="B629" s="253" t="s">
        <v>24</v>
      </c>
      <c r="C629" s="292" t="e">
        <f>VLOOKUP($F$27,'Анализ стоимости'!$A$4:$DK$59,15+2,0)</f>
        <v>#N/A</v>
      </c>
      <c r="D629" s="293"/>
      <c r="J629" s="136" t="str">
        <f t="shared" si="109"/>
        <v/>
      </c>
    </row>
    <row r="630" spans="1:10">
      <c r="A630" s="252">
        <v>5</v>
      </c>
      <c r="B630" s="253" t="s">
        <v>5</v>
      </c>
      <c r="C630" s="292" t="e">
        <f>VLOOKUP($F$27,'Анализ стоимости'!$A$4:$DK$59,16+2,0)</f>
        <v>#N/A</v>
      </c>
      <c r="D630" s="293"/>
      <c r="J630" s="136" t="str">
        <f t="shared" si="109"/>
        <v/>
      </c>
    </row>
    <row r="631" spans="1:10">
      <c r="A631" s="252">
        <v>6</v>
      </c>
      <c r="B631" s="253" t="s">
        <v>10</v>
      </c>
      <c r="C631" s="292" t="e">
        <f>VLOOKUP($F$27,'Анализ стоимости'!$A$4:$DK$59,20+2,0)</f>
        <v>#N/A</v>
      </c>
      <c r="D631" s="293"/>
      <c r="J631" s="136" t="str">
        <f t="shared" si="109"/>
        <v/>
      </c>
    </row>
    <row r="632" spans="1:10">
      <c r="A632" s="252">
        <v>7</v>
      </c>
      <c r="B632" s="253" t="s">
        <v>79</v>
      </c>
      <c r="C632" s="292" t="e">
        <f>VLOOKUP($F$27,'Анализ стоимости'!$A$4:$DK$59,21+2,0)+VLOOKUP($F$27,'Анализ стоимости'!$A$4:$DK$59,23+2,0)+VLOOKUP($F$27,'Анализ стоимости'!$A$4:$DK$59,24+2,0)+VLOOKUP($F$27,'Анализ стоимости'!$A$4:$DK$59,25+2,0)+VLOOKUP($F$27,'Анализ стоимости'!$A$4:$DK$59,26+2,0)+VLOOKUP($F$27,'Анализ стоимости'!$A$4:$DK$59,27+2,0)+VLOOKUP($F$27,'Анализ стоимости'!$A$4:$DK$59,28+2,0)+VLOOKUP($F$27,'Анализ стоимости'!$A$4:$DK$59,29+2,0)</f>
        <v>#N/A</v>
      </c>
      <c r="D632" s="293"/>
      <c r="J632" s="136" t="str">
        <f t="shared" si="109"/>
        <v/>
      </c>
    </row>
    <row r="633" spans="1:10">
      <c r="A633" s="252">
        <v>8</v>
      </c>
      <c r="B633" s="253" t="s">
        <v>46</v>
      </c>
      <c r="C633" s="292" t="e">
        <f>VLOOKUP($F$27,'Анализ стоимости'!$A$4:$DK$59,34+2,0)</f>
        <v>#N/A</v>
      </c>
      <c r="D633" s="293"/>
      <c r="J633" s="136" t="str">
        <f t="shared" si="109"/>
        <v/>
      </c>
    </row>
    <row r="634" spans="1:10">
      <c r="A634" s="252">
        <v>9</v>
      </c>
      <c r="B634" s="253" t="s">
        <v>169</v>
      </c>
      <c r="C634" s="292" t="e">
        <f>SUM(C626:D633)</f>
        <v>#N/A</v>
      </c>
      <c r="D634" s="293"/>
      <c r="J634" s="136" t="str">
        <f t="shared" si="109"/>
        <v/>
      </c>
    </row>
    <row r="635" spans="1:10">
      <c r="A635" s="294" t="s">
        <v>161</v>
      </c>
      <c r="B635" s="294"/>
      <c r="C635" s="294"/>
      <c r="D635" s="294"/>
      <c r="J635" s="136" t="str">
        <f t="shared" si="109"/>
        <v/>
      </c>
    </row>
    <row r="636" spans="1:10" ht="31.5">
      <c r="A636" s="255" t="s">
        <v>53</v>
      </c>
      <c r="B636" s="249" t="s">
        <v>15</v>
      </c>
      <c r="C636" s="249" t="s">
        <v>152</v>
      </c>
      <c r="D636" s="249" t="s">
        <v>88</v>
      </c>
      <c r="J636" s="136" t="str">
        <f t="shared" si="109"/>
        <v/>
      </c>
    </row>
    <row r="637" spans="1:10">
      <c r="A637" s="252">
        <v>10</v>
      </c>
      <c r="B637" s="252" t="e">
        <f>VLOOKUP((VLOOKUP($F$27,'Анализ стоимости'!$A$4:$BY$59,12,0)),'Расчет инфляции'!$BD$5:$BE$22,2,0)</f>
        <v>#N/A</v>
      </c>
      <c r="C637" s="252"/>
      <c r="D637" s="253"/>
      <c r="J637" s="136" t="str">
        <f t="shared" si="109"/>
        <v/>
      </c>
    </row>
    <row r="638" spans="1:10">
      <c r="A638" s="252" t="e">
        <f>IF(D638=0,0,A637+1)</f>
        <v>#N/A</v>
      </c>
      <c r="B638" s="253" t="e">
        <f>CONCATENATE("2014 г. (",CHOOSE(VLOOKUP(F$27,'Анализ стоимости'!$A$4:$DK$90,68,0),"Январь","Февраль","Март","Апрель","Май","Июнь","Июль","Август","Сентябрь","Октябрь","Ноябрь","Декабрь")," - ",CHOOSE(VLOOKUP(F$27,'Анализ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638" s="252" t="s">
        <v>153</v>
      </c>
      <c r="D638" s="278" t="e">
        <f>IF(D640=0,0,VLOOKUP($F$27,'Анализ стоимости'!$A$4:$DK$59,74,0)*100+100)</f>
        <v>#N/A</v>
      </c>
      <c r="J638" s="136" t="e">
        <f>IF(D638=0,"",1)</f>
        <v>#N/A</v>
      </c>
    </row>
    <row r="639" spans="1:10">
      <c r="A639" s="252" t="e">
        <f>IF(D639=0,0,IF(D638=0,A637+1,A638+1))</f>
        <v>#N/A</v>
      </c>
      <c r="B639" s="253" t="e">
        <f>CONCATENATE("2015 г. (",CHOOSE(VLOOKUP(F$27,'Анализ стоимости'!$A$4:$DK$90,70,0),"Январь","Февраль","Март","Апрель","Май","Июнь","Июль","Август","Сентябрь","Октябрь","Ноябрь","Декабрь")," - ",CHOOSE(VLOOKUP(F$27,'Анализ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639" s="252" t="s">
        <v>153</v>
      </c>
      <c r="D639" s="278" t="e">
        <f>IF(D641=0,0,VLOOKUP($F$27,'Анализ стоимости'!$A$4:$DK$59,75,0)*100+100)</f>
        <v>#N/A</v>
      </c>
      <c r="J639" s="136" t="e">
        <f t="shared" ref="J639:J641" si="110">IF(D639=0,"",1)</f>
        <v>#N/A</v>
      </c>
    </row>
    <row r="640" spans="1:10">
      <c r="A640" s="252" t="e">
        <f>IF(D640=0,0,IF(D639=0,A638+1,A639+1))</f>
        <v>#N/A</v>
      </c>
      <c r="B640" s="253" t="s">
        <v>154</v>
      </c>
      <c r="C640" s="252" t="s">
        <v>156</v>
      </c>
      <c r="D640" s="257" t="e">
        <f>VLOOKUP($F$27,'Анализ стоимости'!$A$4:$DK$59,51,0)</f>
        <v>#N/A</v>
      </c>
      <c r="J640" s="136" t="e">
        <f t="shared" si="110"/>
        <v>#N/A</v>
      </c>
    </row>
    <row r="641" spans="1:10">
      <c r="A641" s="252" t="e">
        <f>IF(D641=0,0,IF(D640=0,A639+1,A640+1))</f>
        <v>#N/A</v>
      </c>
      <c r="B641" s="253" t="s">
        <v>155</v>
      </c>
      <c r="C641" s="252" t="s">
        <v>156</v>
      </c>
      <c r="D641" s="257" t="e">
        <f>VLOOKUP($F$27,'Анализ стоимости'!$A$4:$DK$59,61,0)</f>
        <v>#N/A</v>
      </c>
      <c r="J641" s="136" t="e">
        <f t="shared" si="110"/>
        <v>#N/A</v>
      </c>
    </row>
    <row r="642" spans="1:10">
      <c r="A642" s="294" t="s">
        <v>157</v>
      </c>
      <c r="B642" s="294"/>
      <c r="C642" s="294"/>
      <c r="D642" s="294"/>
      <c r="J642" s="136" t="str">
        <f>IF($F$27=0,"",1)</f>
        <v/>
      </c>
    </row>
    <row r="643" spans="1:10" ht="31.5">
      <c r="A643" s="252" t="e">
        <f>IF(D643=0,0,IF(D641=0,IF(D640=0,A637+1,A640+1),A641+1))</f>
        <v>#N/A</v>
      </c>
      <c r="B643" s="258" t="s">
        <v>206</v>
      </c>
      <c r="C643" s="252" t="s">
        <v>156</v>
      </c>
      <c r="D643" s="257" t="e">
        <f>SUM(VLOOKUP($F$27,'Анализ стоимости'!$A$4:$DK$59,46,0),D640)</f>
        <v>#N/A</v>
      </c>
      <c r="E643" s="136"/>
      <c r="J643" s="136" t="e">
        <f t="shared" ref="J643:J649" si="111">IF(D643=0,"",1)</f>
        <v>#N/A</v>
      </c>
    </row>
    <row r="644" spans="1:10">
      <c r="A644" s="252" t="e">
        <f>IF(D644=0,0,A643+1)</f>
        <v>#N/A</v>
      </c>
      <c r="B644" s="258" t="s">
        <v>159</v>
      </c>
      <c r="C644" s="252" t="s">
        <v>156</v>
      </c>
      <c r="D644" s="257" t="e">
        <f>VLOOKUP($F$27,'Анализ стоимости'!$A$4:$DK$59,56,0)</f>
        <v>#N/A</v>
      </c>
      <c r="E644" s="136"/>
      <c r="J644" s="136" t="e">
        <f t="shared" si="111"/>
        <v>#N/A</v>
      </c>
    </row>
    <row r="645" spans="1:10">
      <c r="A645" s="252" t="e">
        <f>IF(D645=0,0,A644+1)</f>
        <v>#N/A</v>
      </c>
      <c r="B645" s="258" t="s">
        <v>205</v>
      </c>
      <c r="C645" s="252" t="s">
        <v>156</v>
      </c>
      <c r="D645" s="257" t="e">
        <f>SUM(D643:D644)</f>
        <v>#N/A</v>
      </c>
      <c r="E645" s="254" t="e">
        <f>VLOOKUP($F$27,'Анализ стоимости'!$A$4:$DK$59,76,0)</f>
        <v>#N/A</v>
      </c>
      <c r="J645" s="136" t="e">
        <f t="shared" si="111"/>
        <v>#N/A</v>
      </c>
    </row>
    <row r="646" spans="1:10" ht="31.5">
      <c r="A646" s="252" t="e">
        <f>IF(D646=0,0,IF(D645=0,IF(D641=0,A637+1,A641+1),A645+1))</f>
        <v>#N/A</v>
      </c>
      <c r="B646" s="258" t="s">
        <v>204</v>
      </c>
      <c r="C646" s="252" t="s">
        <v>156</v>
      </c>
      <c r="D646" s="257" t="e">
        <f>VLOOKUP($F$27,'Анализ стоимости'!$A$4:$DK$59,41,0)-VLOOKUP($F$27,'Анализ стоимости'!$A$4:$DK$59,46,0)+D641</f>
        <v>#N/A</v>
      </c>
      <c r="J646" s="136" t="e">
        <f t="shared" si="111"/>
        <v>#N/A</v>
      </c>
    </row>
    <row r="647" spans="1:10">
      <c r="A647" s="252" t="e">
        <f>IF(D647=0,0,A646+1)</f>
        <v>#N/A</v>
      </c>
      <c r="B647" s="258" t="s">
        <v>159</v>
      </c>
      <c r="C647" s="252" t="s">
        <v>156</v>
      </c>
      <c r="D647" s="257" t="e">
        <f>VLOOKUP($F$27,'Анализ стоимости'!$A$4:$DK$59,66,0)</f>
        <v>#N/A</v>
      </c>
      <c r="J647" s="136" t="e">
        <f t="shared" si="111"/>
        <v>#N/A</v>
      </c>
    </row>
    <row r="648" spans="1:10">
      <c r="A648" s="252" t="e">
        <f>IF(D648=0,0,A647+1)</f>
        <v>#N/A</v>
      </c>
      <c r="B648" s="258" t="s">
        <v>203</v>
      </c>
      <c r="C648" s="252" t="s">
        <v>156</v>
      </c>
      <c r="D648" s="257" t="e">
        <f>SUM(D646:D647)</f>
        <v>#N/A</v>
      </c>
      <c r="E648" s="254" t="e">
        <f>VLOOKUP($F$27,'Анализ стоимости'!$A$4:$DK$59,77,0)</f>
        <v>#N/A</v>
      </c>
      <c r="J648" s="136" t="e">
        <f t="shared" si="111"/>
        <v>#N/A</v>
      </c>
    </row>
    <row r="649" spans="1:10">
      <c r="A649" s="252" t="e">
        <f>IF(D649=0,0,A648+1)</f>
        <v>#N/A</v>
      </c>
      <c r="B649" s="258" t="s">
        <v>158</v>
      </c>
      <c r="C649" s="252" t="s">
        <v>156</v>
      </c>
      <c r="D649" s="257" t="e">
        <f>IF(OR(D645=0,D648=0),0,D648+D645)</f>
        <v>#N/A</v>
      </c>
      <c r="E649" s="254" t="e">
        <f>VLOOKUP($F$27,'Анализ стоимости'!$A$4:$DK$59,67,0)</f>
        <v>#N/A</v>
      </c>
      <c r="J649" s="136" t="e">
        <f t="shared" si="111"/>
        <v>#N/A</v>
      </c>
    </row>
    <row r="650" spans="1:10">
      <c r="A650" s="262"/>
      <c r="B650" s="262"/>
      <c r="C650" s="262"/>
      <c r="D650" s="263"/>
      <c r="J650" s="136" t="str">
        <f>IF($F$27=0,"",1)</f>
        <v/>
      </c>
    </row>
    <row r="651" spans="1:10" ht="31.5" customHeight="1">
      <c r="A651" s="289" t="str">
        <f>'Анализ стоимости'!M$52</f>
        <v>Заместитель главы Вышестеблиевского сельского поселения Темрюкского района</v>
      </c>
      <c r="B651" s="290"/>
      <c r="C651" s="264"/>
      <c r="D651" s="265" t="str">
        <f>CONCATENATE("_____________________ ",'Анализ стоимости'!M$53)</f>
        <v>_____________________ Н.Д.Шевченко</v>
      </c>
      <c r="G651" s="267" t="str">
        <f>A651</f>
        <v>Заместитель главы Вышестеблиевского сельского поселения Темрюкского района</v>
      </c>
      <c r="J651" s="136" t="str">
        <f>IF($F$12=0,"",1)</f>
        <v/>
      </c>
    </row>
    <row r="652" spans="1:10" s="237" customFormat="1" ht="5.25">
      <c r="A652" s="269"/>
      <c r="B652" s="269"/>
      <c r="C652" s="269"/>
      <c r="D652" s="270"/>
      <c r="G652" s="238"/>
      <c r="H652" s="238"/>
      <c r="I652" s="273"/>
      <c r="J652" s="277" t="str">
        <f>IF($F$12=0,"",1)</f>
        <v/>
      </c>
    </row>
    <row r="653" spans="1:10">
      <c r="A653" s="291">
        <f ca="1">TODAY()</f>
        <v>41941</v>
      </c>
      <c r="B653" s="291"/>
      <c r="C653" s="224"/>
      <c r="D653" s="224"/>
      <c r="J653" s="136" t="str">
        <f>IF($F$27=0,"",1)</f>
        <v/>
      </c>
    </row>
    <row r="654" spans="1:10">
      <c r="A654" s="295" t="s">
        <v>188</v>
      </c>
      <c r="B654" s="295"/>
      <c r="C654" s="295"/>
      <c r="D654" s="295"/>
      <c r="G654" s="226"/>
      <c r="H654" s="226"/>
      <c r="J654" s="136" t="str">
        <f t="shared" ref="J654:J671" si="112">IF($F$28=0,"",1)</f>
        <v/>
      </c>
    </row>
    <row r="655" spans="1:10">
      <c r="A655" s="296" t="e">
        <f>CONCATENATE("Наименование объекта: ",VLOOKUP($F$28,'Анализ стоимости'!$A$4:$DK$59,11+2,0))</f>
        <v>#N/A</v>
      </c>
      <c r="B655" s="296"/>
      <c r="C655" s="296"/>
      <c r="D655" s="296"/>
      <c r="I655" s="276" t="e">
        <f>A655</f>
        <v>#N/A</v>
      </c>
      <c r="J655" s="136" t="str">
        <f t="shared" si="112"/>
        <v/>
      </c>
    </row>
    <row r="656" spans="1:10" s="237" customFormat="1" ht="5.25">
      <c r="A656" s="246"/>
      <c r="B656" s="235"/>
      <c r="C656" s="235"/>
      <c r="D656" s="235"/>
      <c r="G656" s="238"/>
      <c r="H656" s="238"/>
      <c r="I656" s="273"/>
      <c r="J656" s="277" t="str">
        <f t="shared" si="112"/>
        <v/>
      </c>
    </row>
    <row r="657" spans="1:10">
      <c r="A657" s="248" t="s">
        <v>149</v>
      </c>
      <c r="B657" s="241"/>
      <c r="C657" s="241"/>
      <c r="D657" s="241"/>
      <c r="J657" s="136" t="str">
        <f t="shared" si="112"/>
        <v/>
      </c>
    </row>
    <row r="658" spans="1:10">
      <c r="A658" s="297" t="s">
        <v>150</v>
      </c>
      <c r="B658" s="297"/>
      <c r="C658" s="297"/>
      <c r="D658" s="297"/>
      <c r="J658" s="136" t="str">
        <f t="shared" si="112"/>
        <v/>
      </c>
    </row>
    <row r="659" spans="1:10" ht="47.25" customHeight="1">
      <c r="A659" s="249" t="s">
        <v>53</v>
      </c>
      <c r="B659" s="249" t="s">
        <v>87</v>
      </c>
      <c r="C659" s="298" t="e">
        <f>CONCATENATE("Стоимость  согласно сметной документации (руб.) в текущих ценах по состоянию на ",VLOOKUP($F$28,'Анализ стоимости'!$A$4:$BY$59,6+2,0)," г.")</f>
        <v>#N/A</v>
      </c>
      <c r="D659" s="299"/>
      <c r="H659" s="250" t="e">
        <f>C659</f>
        <v>#N/A</v>
      </c>
      <c r="J659" s="136" t="str">
        <f t="shared" si="112"/>
        <v/>
      </c>
    </row>
    <row r="660" spans="1:10">
      <c r="A660" s="252">
        <v>1</v>
      </c>
      <c r="B660" s="253" t="s">
        <v>28</v>
      </c>
      <c r="C660" s="292" t="e">
        <f>VLOOKUP($F$28,'Анализ стоимости'!$A$4:$BY$59,12+2,0)</f>
        <v>#N/A</v>
      </c>
      <c r="D660" s="293"/>
      <c r="J660" s="136" t="str">
        <f t="shared" si="112"/>
        <v/>
      </c>
    </row>
    <row r="661" spans="1:10">
      <c r="A661" s="252">
        <v>2</v>
      </c>
      <c r="B661" s="253" t="s">
        <v>23</v>
      </c>
      <c r="C661" s="292" t="e">
        <f>VLOOKUP($F$28,'Анализ стоимости'!$A$4:$DK$59,13+2,0)</f>
        <v>#N/A</v>
      </c>
      <c r="D661" s="293"/>
      <c r="J661" s="136" t="str">
        <f t="shared" si="112"/>
        <v/>
      </c>
    </row>
    <row r="662" spans="1:10" ht="31.5">
      <c r="A662" s="252">
        <v>3</v>
      </c>
      <c r="B662" s="253" t="s">
        <v>2</v>
      </c>
      <c r="C662" s="292" t="e">
        <f>VLOOKUP($F$28,'Анализ стоимости'!$A$4:$DK$59,14+2,0)</f>
        <v>#N/A</v>
      </c>
      <c r="D662" s="293"/>
      <c r="J662" s="136" t="str">
        <f t="shared" si="112"/>
        <v/>
      </c>
    </row>
    <row r="663" spans="1:10">
      <c r="A663" s="252">
        <v>4</v>
      </c>
      <c r="B663" s="253" t="s">
        <v>24</v>
      </c>
      <c r="C663" s="292" t="e">
        <f>VLOOKUP($F$28,'Анализ стоимости'!$A$4:$DK$59,15+2,0)</f>
        <v>#N/A</v>
      </c>
      <c r="D663" s="293"/>
      <c r="J663" s="136" t="str">
        <f t="shared" si="112"/>
        <v/>
      </c>
    </row>
    <row r="664" spans="1:10">
      <c r="A664" s="252">
        <v>5</v>
      </c>
      <c r="B664" s="253" t="s">
        <v>5</v>
      </c>
      <c r="C664" s="292" t="e">
        <f>VLOOKUP($F$28,'Анализ стоимости'!$A$4:$DK$59,16+2,0)</f>
        <v>#N/A</v>
      </c>
      <c r="D664" s="293"/>
      <c r="J664" s="136" t="str">
        <f t="shared" si="112"/>
        <v/>
      </c>
    </row>
    <row r="665" spans="1:10">
      <c r="A665" s="252">
        <v>6</v>
      </c>
      <c r="B665" s="253" t="s">
        <v>10</v>
      </c>
      <c r="C665" s="292" t="e">
        <f>VLOOKUP($F$28,'Анализ стоимости'!$A$4:$DK$59,20+2,0)</f>
        <v>#N/A</v>
      </c>
      <c r="D665" s="293"/>
      <c r="J665" s="136" t="str">
        <f t="shared" si="112"/>
        <v/>
      </c>
    </row>
    <row r="666" spans="1:10">
      <c r="A666" s="252">
        <v>7</v>
      </c>
      <c r="B666" s="253" t="s">
        <v>79</v>
      </c>
      <c r="C666" s="292" t="e">
        <f>VLOOKUP($F$28,'Анализ стоимости'!$A$4:$DK$59,21+2,0)+VLOOKUP($F$28,'Анализ стоимости'!$A$4:$DK$59,23+2,0)+VLOOKUP($F$28,'Анализ стоимости'!$A$4:$DK$59,24+2,0)+VLOOKUP($F$28,'Анализ стоимости'!$A$4:$DK$59,25+2,0)+VLOOKUP($F$28,'Анализ стоимости'!$A$4:$DK$59,26+2,0)+VLOOKUP($F$28,'Анализ стоимости'!$A$4:$DK$59,27+2,0)+VLOOKUP($F$28,'Анализ стоимости'!$A$4:$DK$59,28+2,0)+VLOOKUP($F$28,'Анализ стоимости'!$A$4:$DK$59,29+2,0)</f>
        <v>#N/A</v>
      </c>
      <c r="D666" s="293"/>
      <c r="J666" s="136" t="str">
        <f t="shared" si="112"/>
        <v/>
      </c>
    </row>
    <row r="667" spans="1:10">
      <c r="A667" s="252">
        <v>8</v>
      </c>
      <c r="B667" s="253" t="s">
        <v>46</v>
      </c>
      <c r="C667" s="292" t="e">
        <f>VLOOKUP($F$28,'Анализ стоимости'!$A$4:$DK$59,34+2,0)</f>
        <v>#N/A</v>
      </c>
      <c r="D667" s="293"/>
      <c r="J667" s="136" t="str">
        <f t="shared" si="112"/>
        <v/>
      </c>
    </row>
    <row r="668" spans="1:10">
      <c r="A668" s="252">
        <v>9</v>
      </c>
      <c r="B668" s="253" t="s">
        <v>169</v>
      </c>
      <c r="C668" s="292" t="e">
        <f>SUM(C660:D667)</f>
        <v>#N/A</v>
      </c>
      <c r="D668" s="293"/>
      <c r="J668" s="136" t="str">
        <f t="shared" si="112"/>
        <v/>
      </c>
    </row>
    <row r="669" spans="1:10">
      <c r="A669" s="294" t="s">
        <v>161</v>
      </c>
      <c r="B669" s="294"/>
      <c r="C669" s="294"/>
      <c r="D669" s="294"/>
      <c r="J669" s="136" t="str">
        <f t="shared" si="112"/>
        <v/>
      </c>
    </row>
    <row r="670" spans="1:10" ht="31.5">
      <c r="A670" s="255" t="s">
        <v>53</v>
      </c>
      <c r="B670" s="249" t="s">
        <v>15</v>
      </c>
      <c r="C670" s="249" t="s">
        <v>152</v>
      </c>
      <c r="D670" s="249" t="s">
        <v>88</v>
      </c>
      <c r="J670" s="136" t="str">
        <f t="shared" si="112"/>
        <v/>
      </c>
    </row>
    <row r="671" spans="1:10">
      <c r="A671" s="252">
        <v>10</v>
      </c>
      <c r="B671" s="252" t="e">
        <f>VLOOKUP((VLOOKUP($F$28,'Анализ стоимости'!$A$4:$BY$59,12,0)),'Расчет инфляции'!$BD$5:$BE$22,2,0)</f>
        <v>#N/A</v>
      </c>
      <c r="C671" s="252"/>
      <c r="D671" s="253"/>
      <c r="J671" s="136" t="str">
        <f t="shared" si="112"/>
        <v/>
      </c>
    </row>
    <row r="672" spans="1:10">
      <c r="A672" s="252" t="e">
        <f>IF(D672=0,0,A671+1)</f>
        <v>#N/A</v>
      </c>
      <c r="B672" s="253" t="e">
        <f>CONCATENATE("2014 г. (",CHOOSE(VLOOKUP(F$28,'Анализ стоимости'!$A$4:$DK$90,68,0),"Январь","Февраль","Март","Апрель","Май","Июнь","Июль","Август","Сентябрь","Октябрь","Ноябрь","Декабрь")," - ",CHOOSE(VLOOKUP(F$28,'Анализ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672" s="252" t="s">
        <v>153</v>
      </c>
      <c r="D672" s="278" t="e">
        <f>IF(D674=0,0,VLOOKUP($F$28,'Анализ стоимости'!$A$4:$DK$59,74,0)*100+100)</f>
        <v>#N/A</v>
      </c>
      <c r="J672" s="136" t="e">
        <f>IF(D672=0,"",1)</f>
        <v>#N/A</v>
      </c>
    </row>
    <row r="673" spans="1:10">
      <c r="A673" s="252" t="e">
        <f>IF(D673=0,0,IF(D672=0,A671+1,A672+1))</f>
        <v>#N/A</v>
      </c>
      <c r="B673" s="253" t="e">
        <f>CONCATENATE("2015 г. (",CHOOSE(VLOOKUP(F$28,'Анализ стоимости'!$A$4:$DK$90,70,0),"Январь","Февраль","Март","Апрель","Май","Июнь","Июль","Август","Сентябрь","Октябрь","Ноябрь","Декабрь")," - ",CHOOSE(VLOOKUP(F$28,'Анализ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673" s="252" t="s">
        <v>153</v>
      </c>
      <c r="D673" s="278" t="e">
        <f>IF(D675=0,0,VLOOKUP($F$28,'Анализ стоимости'!$A$4:$DK$59,75,0)*100+100)</f>
        <v>#N/A</v>
      </c>
      <c r="J673" s="136" t="e">
        <f t="shared" ref="J673:J675" si="113">IF(D673=0,"",1)</f>
        <v>#N/A</v>
      </c>
    </row>
    <row r="674" spans="1:10">
      <c r="A674" s="252" t="e">
        <f>IF(D674=0,0,IF(D673=0,A672+1,A673+1))</f>
        <v>#N/A</v>
      </c>
      <c r="B674" s="253" t="s">
        <v>154</v>
      </c>
      <c r="C674" s="252" t="s">
        <v>156</v>
      </c>
      <c r="D674" s="257" t="e">
        <f>VLOOKUP($F$28,'Анализ стоимости'!$A$4:$DK$59,51,0)</f>
        <v>#N/A</v>
      </c>
      <c r="J674" s="136" t="e">
        <f t="shared" si="113"/>
        <v>#N/A</v>
      </c>
    </row>
    <row r="675" spans="1:10">
      <c r="A675" s="252" t="e">
        <f>IF(D675=0,0,IF(D674=0,A673+1,A674+1))</f>
        <v>#N/A</v>
      </c>
      <c r="B675" s="253" t="s">
        <v>155</v>
      </c>
      <c r="C675" s="252" t="s">
        <v>156</v>
      </c>
      <c r="D675" s="257" t="e">
        <f>VLOOKUP($F$28,'Анализ стоимости'!$A$4:$DK$59,61,0)</f>
        <v>#N/A</v>
      </c>
      <c r="J675" s="136" t="e">
        <f t="shared" si="113"/>
        <v>#N/A</v>
      </c>
    </row>
    <row r="676" spans="1:10">
      <c r="A676" s="294" t="s">
        <v>157</v>
      </c>
      <c r="B676" s="294"/>
      <c r="C676" s="294"/>
      <c r="D676" s="294"/>
      <c r="J676" s="136" t="str">
        <f>IF($F$28=0,"",1)</f>
        <v/>
      </c>
    </row>
    <row r="677" spans="1:10" ht="31.5">
      <c r="A677" s="252" t="e">
        <f>IF(D677=0,0,IF(D675=0,IF(D674=0,A671+1,A674+1),A675+1))</f>
        <v>#N/A</v>
      </c>
      <c r="B677" s="258" t="s">
        <v>206</v>
      </c>
      <c r="C677" s="252" t="s">
        <v>156</v>
      </c>
      <c r="D677" s="257" t="e">
        <f>SUM(VLOOKUP($F$28,'Анализ стоимости'!$A$4:$DK$59,46,0),D674)</f>
        <v>#N/A</v>
      </c>
      <c r="E677" s="136"/>
      <c r="J677" s="136" t="e">
        <f t="shared" ref="J677:J683" si="114">IF(D677=0,"",1)</f>
        <v>#N/A</v>
      </c>
    </row>
    <row r="678" spans="1:10">
      <c r="A678" s="252" t="e">
        <f>IF(D678=0,0,A677+1)</f>
        <v>#N/A</v>
      </c>
      <c r="B678" s="258" t="s">
        <v>159</v>
      </c>
      <c r="C678" s="252" t="s">
        <v>156</v>
      </c>
      <c r="D678" s="257" t="e">
        <f>VLOOKUP($F$28,'Анализ стоимости'!$A$4:$DK$59,56,0)</f>
        <v>#N/A</v>
      </c>
      <c r="E678" s="136"/>
      <c r="J678" s="136" t="e">
        <f t="shared" si="114"/>
        <v>#N/A</v>
      </c>
    </row>
    <row r="679" spans="1:10">
      <c r="A679" s="252" t="e">
        <f>IF(D679=0,0,A678+1)</f>
        <v>#N/A</v>
      </c>
      <c r="B679" s="258" t="s">
        <v>205</v>
      </c>
      <c r="C679" s="252" t="s">
        <v>156</v>
      </c>
      <c r="D679" s="257" t="e">
        <f>SUM(D677:D678)</f>
        <v>#N/A</v>
      </c>
      <c r="E679" s="254" t="e">
        <f>VLOOKUP($F$28,'Анализ стоимости'!$A$4:$DK$59,76,0)</f>
        <v>#N/A</v>
      </c>
      <c r="J679" s="136" t="e">
        <f t="shared" si="114"/>
        <v>#N/A</v>
      </c>
    </row>
    <row r="680" spans="1:10" ht="31.5">
      <c r="A680" s="252" t="e">
        <f>IF(D680=0,0,IF(D679=0,IF(D675=0,A671+1,A675+1),A679+1))</f>
        <v>#N/A</v>
      </c>
      <c r="B680" s="258" t="s">
        <v>204</v>
      </c>
      <c r="C680" s="252" t="s">
        <v>156</v>
      </c>
      <c r="D680" s="257" t="e">
        <f>VLOOKUP($F$28,'Анализ стоимости'!$A$4:$DK$59,41,0)-VLOOKUP($F$28,'Анализ стоимости'!$A$4:$DK$59,46,0)+D675</f>
        <v>#N/A</v>
      </c>
      <c r="J680" s="136" t="e">
        <f t="shared" si="114"/>
        <v>#N/A</v>
      </c>
    </row>
    <row r="681" spans="1:10">
      <c r="A681" s="252" t="e">
        <f>IF(D681=0,0,A680+1)</f>
        <v>#N/A</v>
      </c>
      <c r="B681" s="258" t="s">
        <v>159</v>
      </c>
      <c r="C681" s="252" t="s">
        <v>156</v>
      </c>
      <c r="D681" s="257" t="e">
        <f>VLOOKUP($F$28,'Анализ стоимости'!$A$4:$DK$59,66,0)</f>
        <v>#N/A</v>
      </c>
      <c r="J681" s="136" t="e">
        <f t="shared" si="114"/>
        <v>#N/A</v>
      </c>
    </row>
    <row r="682" spans="1:10">
      <c r="A682" s="252" t="e">
        <f>IF(D682=0,0,A681+1)</f>
        <v>#N/A</v>
      </c>
      <c r="B682" s="258" t="s">
        <v>203</v>
      </c>
      <c r="C682" s="252" t="s">
        <v>156</v>
      </c>
      <c r="D682" s="257" t="e">
        <f>SUM(D680:D681)</f>
        <v>#N/A</v>
      </c>
      <c r="E682" s="254" t="e">
        <f>VLOOKUP($F$28,'Анализ стоимости'!$A$4:$DK$59,77,0)</f>
        <v>#N/A</v>
      </c>
      <c r="J682" s="136" t="e">
        <f t="shared" si="114"/>
        <v>#N/A</v>
      </c>
    </row>
    <row r="683" spans="1:10">
      <c r="A683" s="252" t="e">
        <f>IF(D683=0,0,A682+1)</f>
        <v>#N/A</v>
      </c>
      <c r="B683" s="258" t="s">
        <v>158</v>
      </c>
      <c r="C683" s="252" t="s">
        <v>156</v>
      </c>
      <c r="D683" s="257" t="e">
        <f>IF(OR(D679=0,D682=0),0,D682+D679)</f>
        <v>#N/A</v>
      </c>
      <c r="E683" s="254" t="e">
        <f>VLOOKUP($F$28,'Анализ стоимости'!$A$4:$DK$59,67,0)</f>
        <v>#N/A</v>
      </c>
      <c r="J683" s="136" t="e">
        <f t="shared" si="114"/>
        <v>#N/A</v>
      </c>
    </row>
    <row r="684" spans="1:10">
      <c r="A684" s="262"/>
      <c r="B684" s="262"/>
      <c r="C684" s="262"/>
      <c r="D684" s="263"/>
      <c r="J684" s="136" t="str">
        <f>IF($F$28=0,"",1)</f>
        <v/>
      </c>
    </row>
    <row r="685" spans="1:10" ht="31.5" customHeight="1">
      <c r="A685" s="289" t="str">
        <f>'Анализ стоимости'!M$52</f>
        <v>Заместитель главы Вышестеблиевского сельского поселения Темрюкского района</v>
      </c>
      <c r="B685" s="290"/>
      <c r="C685" s="264"/>
      <c r="D685" s="265" t="str">
        <f>CONCATENATE("_____________________ ",'Анализ стоимости'!M$53)</f>
        <v>_____________________ Н.Д.Шевченко</v>
      </c>
      <c r="G685" s="267" t="str">
        <f>A685</f>
        <v>Заместитель главы Вышестеблиевского сельского поселения Темрюкского района</v>
      </c>
      <c r="J685" s="136" t="str">
        <f>IF($F$12=0,"",1)</f>
        <v/>
      </c>
    </row>
    <row r="686" spans="1:10" s="237" customFormat="1" ht="5.25">
      <c r="A686" s="269"/>
      <c r="B686" s="269"/>
      <c r="C686" s="269"/>
      <c r="D686" s="270"/>
      <c r="G686" s="238"/>
      <c r="H686" s="238"/>
      <c r="I686" s="273"/>
      <c r="J686" s="277" t="str">
        <f>IF($F$12=0,"",1)</f>
        <v/>
      </c>
    </row>
    <row r="687" spans="1:10">
      <c r="A687" s="291">
        <f ca="1">TODAY()</f>
        <v>41941</v>
      </c>
      <c r="B687" s="291"/>
      <c r="C687" s="224"/>
      <c r="D687" s="224"/>
      <c r="J687" s="136" t="str">
        <f>IF($F$28=0,"",1)</f>
        <v/>
      </c>
    </row>
    <row r="688" spans="1:10">
      <c r="A688" s="295" t="s">
        <v>189</v>
      </c>
      <c r="B688" s="295"/>
      <c r="C688" s="295"/>
      <c r="D688" s="295"/>
      <c r="G688" s="226"/>
      <c r="H688" s="226"/>
      <c r="J688" s="136" t="str">
        <f t="shared" ref="J688:J704" si="115">IF($F$29=0,"",1)</f>
        <v/>
      </c>
    </row>
    <row r="689" spans="1:10">
      <c r="A689" s="296" t="e">
        <f>CONCATENATE("Наименование объекта: ",VLOOKUP($F$29,'Анализ стоимости'!$A$4:$DK$59,11+2,0))</f>
        <v>#N/A</v>
      </c>
      <c r="B689" s="296"/>
      <c r="C689" s="296"/>
      <c r="D689" s="296"/>
      <c r="I689" s="276" t="e">
        <f>A689</f>
        <v>#N/A</v>
      </c>
      <c r="J689" s="136" t="str">
        <f t="shared" si="115"/>
        <v/>
      </c>
    </row>
    <row r="690" spans="1:10" s="237" customFormat="1" ht="5.25">
      <c r="A690" s="246"/>
      <c r="B690" s="235"/>
      <c r="C690" s="235"/>
      <c r="D690" s="235"/>
      <c r="G690" s="238"/>
      <c r="H690" s="238"/>
      <c r="I690" s="273"/>
      <c r="J690" s="277" t="str">
        <f t="shared" si="115"/>
        <v/>
      </c>
    </row>
    <row r="691" spans="1:10">
      <c r="A691" s="248" t="s">
        <v>149</v>
      </c>
      <c r="B691" s="241"/>
      <c r="C691" s="241"/>
      <c r="D691" s="241"/>
      <c r="J691" s="136" t="str">
        <f t="shared" si="115"/>
        <v/>
      </c>
    </row>
    <row r="692" spans="1:10">
      <c r="A692" s="297" t="s">
        <v>150</v>
      </c>
      <c r="B692" s="297"/>
      <c r="C692" s="297"/>
      <c r="D692" s="297"/>
      <c r="J692" s="136" t="str">
        <f t="shared" si="115"/>
        <v/>
      </c>
    </row>
    <row r="693" spans="1:10" ht="47.25" customHeight="1">
      <c r="A693" s="249" t="s">
        <v>53</v>
      </c>
      <c r="B693" s="249" t="s">
        <v>87</v>
      </c>
      <c r="C693" s="298" t="e">
        <f>CONCATENATE("Стоимость  согласно сметной документации (руб.) в текущих ценах по состоянию на ",VLOOKUP($F$29,'Анализ стоимости'!$A$4:$BY$59,6+2,0)," г.")</f>
        <v>#N/A</v>
      </c>
      <c r="D693" s="299"/>
      <c r="H693" s="250" t="e">
        <f>C693</f>
        <v>#N/A</v>
      </c>
      <c r="J693" s="136" t="str">
        <f t="shared" si="115"/>
        <v/>
      </c>
    </row>
    <row r="694" spans="1:10">
      <c r="A694" s="252">
        <v>1</v>
      </c>
      <c r="B694" s="253" t="s">
        <v>28</v>
      </c>
      <c r="C694" s="292" t="e">
        <f>VLOOKUP($F$29,'Анализ стоимости'!$A$4:$BY$59,12+2,0)</f>
        <v>#N/A</v>
      </c>
      <c r="D694" s="293"/>
      <c r="J694" s="136" t="str">
        <f t="shared" si="115"/>
        <v/>
      </c>
    </row>
    <row r="695" spans="1:10">
      <c r="A695" s="252">
        <v>2</v>
      </c>
      <c r="B695" s="253" t="s">
        <v>23</v>
      </c>
      <c r="C695" s="292" t="e">
        <f>VLOOKUP($F$29,'Анализ стоимости'!$A$4:$DK$59,13+2,0)</f>
        <v>#N/A</v>
      </c>
      <c r="D695" s="293"/>
      <c r="J695" s="136" t="str">
        <f t="shared" si="115"/>
        <v/>
      </c>
    </row>
    <row r="696" spans="1:10" ht="31.5">
      <c r="A696" s="252">
        <v>3</v>
      </c>
      <c r="B696" s="253" t="s">
        <v>2</v>
      </c>
      <c r="C696" s="292" t="e">
        <f>VLOOKUP($F$29,'Анализ стоимости'!$A$4:$DK$59,14+2,0)</f>
        <v>#N/A</v>
      </c>
      <c r="D696" s="293"/>
      <c r="J696" s="136" t="str">
        <f t="shared" si="115"/>
        <v/>
      </c>
    </row>
    <row r="697" spans="1:10">
      <c r="A697" s="252">
        <v>4</v>
      </c>
      <c r="B697" s="253" t="s">
        <v>24</v>
      </c>
      <c r="C697" s="292" t="e">
        <f>VLOOKUP($F$29,'Анализ стоимости'!$A$4:$DK$59,15+2,0)</f>
        <v>#N/A</v>
      </c>
      <c r="D697" s="293"/>
      <c r="J697" s="136" t="str">
        <f t="shared" si="115"/>
        <v/>
      </c>
    </row>
    <row r="698" spans="1:10">
      <c r="A698" s="252">
        <v>5</v>
      </c>
      <c r="B698" s="253" t="s">
        <v>5</v>
      </c>
      <c r="C698" s="292" t="e">
        <f>VLOOKUP($F$29,'Анализ стоимости'!$A$4:$DK$59,16+2,0)</f>
        <v>#N/A</v>
      </c>
      <c r="D698" s="293"/>
      <c r="J698" s="136" t="str">
        <f t="shared" si="115"/>
        <v/>
      </c>
    </row>
    <row r="699" spans="1:10">
      <c r="A699" s="252">
        <v>6</v>
      </c>
      <c r="B699" s="253" t="s">
        <v>10</v>
      </c>
      <c r="C699" s="292" t="e">
        <f>VLOOKUP($F$29,'Анализ стоимости'!$A$4:$DK$59,20+2,0)</f>
        <v>#N/A</v>
      </c>
      <c r="D699" s="293"/>
      <c r="J699" s="136" t="str">
        <f t="shared" si="115"/>
        <v/>
      </c>
    </row>
    <row r="700" spans="1:10">
      <c r="A700" s="252">
        <v>7</v>
      </c>
      <c r="B700" s="253" t="s">
        <v>79</v>
      </c>
      <c r="C700" s="292" t="e">
        <f>VLOOKUP($F$29,'Анализ стоимости'!$A$4:$DK$59,21+2,0)+VLOOKUP($F$29,'Анализ стоимости'!$A$4:$DK$59,23+2,0)+VLOOKUP($F$29,'Анализ стоимости'!$A$4:$DK$59,24+2,0)+VLOOKUP($F$29,'Анализ стоимости'!$A$4:$DK$59,25+2,0)+VLOOKUP($F$29,'Анализ стоимости'!$A$4:$DK$59,26+2,0)+VLOOKUP($F$29,'Анализ стоимости'!$A$4:$DK$59,27+2,0)+VLOOKUP($F$29,'Анализ стоимости'!$A$4:$DK$59,28+2,0)+VLOOKUP($F$29,'Анализ стоимости'!$A$4:$DK$59,29+2,0)</f>
        <v>#N/A</v>
      </c>
      <c r="D700" s="293"/>
      <c r="J700" s="136" t="str">
        <f t="shared" si="115"/>
        <v/>
      </c>
    </row>
    <row r="701" spans="1:10">
      <c r="A701" s="252">
        <v>8</v>
      </c>
      <c r="B701" s="253" t="s">
        <v>46</v>
      </c>
      <c r="C701" s="292" t="e">
        <f>VLOOKUP($F$29,'Анализ стоимости'!$A$4:$DK$59,34+2,0)</f>
        <v>#N/A</v>
      </c>
      <c r="D701" s="293"/>
      <c r="J701" s="136" t="str">
        <f t="shared" si="115"/>
        <v/>
      </c>
    </row>
    <row r="702" spans="1:10">
      <c r="A702" s="252">
        <v>9</v>
      </c>
      <c r="B702" s="253" t="s">
        <v>169</v>
      </c>
      <c r="C702" s="292" t="e">
        <f>SUM(C694:D701)</f>
        <v>#N/A</v>
      </c>
      <c r="D702" s="293"/>
      <c r="J702" s="136" t="str">
        <f t="shared" si="115"/>
        <v/>
      </c>
    </row>
    <row r="703" spans="1:10">
      <c r="A703" s="294" t="s">
        <v>161</v>
      </c>
      <c r="B703" s="294"/>
      <c r="C703" s="294"/>
      <c r="D703" s="294"/>
      <c r="J703" s="136" t="str">
        <f t="shared" si="115"/>
        <v/>
      </c>
    </row>
    <row r="704" spans="1:10" ht="31.5">
      <c r="A704" s="255" t="s">
        <v>53</v>
      </c>
      <c r="B704" s="249" t="s">
        <v>15</v>
      </c>
      <c r="C704" s="249" t="s">
        <v>152</v>
      </c>
      <c r="D704" s="249" t="s">
        <v>88</v>
      </c>
      <c r="J704" s="136" t="str">
        <f t="shared" si="115"/>
        <v/>
      </c>
    </row>
    <row r="705" spans="1:10">
      <c r="A705" s="252">
        <v>10</v>
      </c>
      <c r="B705" s="252" t="e">
        <f>VLOOKUP((VLOOKUP($F$29,'Анализ стоимости'!$A$4:$BY$59,12,0)),'Расчет инфляции'!$BD$5:$BE$22,2,0)</f>
        <v>#N/A</v>
      </c>
      <c r="C705" s="252"/>
      <c r="D705" s="253"/>
      <c r="J705" s="136" t="str">
        <f>IF($F$26=0,"",1)</f>
        <v/>
      </c>
    </row>
    <row r="706" spans="1:10">
      <c r="A706" s="252" t="e">
        <f>IF(D706=0,0,A705+1)</f>
        <v>#N/A</v>
      </c>
      <c r="B706" s="253" t="e">
        <f>CONCATENATE("2014 г. (",CHOOSE(VLOOKUP(F$29,'Анализ стоимости'!$A$4:$DK$90,68,0),"Январь","Февраль","Март","Апрель","Май","Июнь","Июль","Август","Сентябрь","Октябрь","Ноябрь","Декабрь")," - ",CHOOSE(VLOOKUP(F$29,'Анализ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706" s="252" t="s">
        <v>153</v>
      </c>
      <c r="D706" s="278" t="e">
        <f>IF(D708=0,0,VLOOKUP($F$29,'Анализ стоимости'!$A$4:$DK$59,74,0)*100+100)</f>
        <v>#N/A</v>
      </c>
      <c r="J706" s="136" t="e">
        <f>IF(D706=0,"",1)</f>
        <v>#N/A</v>
      </c>
    </row>
    <row r="707" spans="1:10">
      <c r="A707" s="252" t="e">
        <f>IF(D707=0,0,IF(D706=0,A705+1,A706+1))</f>
        <v>#N/A</v>
      </c>
      <c r="B707" s="253" t="e">
        <f>CONCATENATE("2015 г. (",CHOOSE(VLOOKUP(F$29,'Анализ стоимости'!$A$4:$DK$90,70,0),"Январь","Февраль","Март","Апрель","Май","Июнь","Июль","Август","Сентябрь","Октябрь","Ноябрь","Декабрь")," - ",CHOOSE(VLOOKUP(F$29,'Анализ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707" s="252" t="s">
        <v>153</v>
      </c>
      <c r="D707" s="278" t="e">
        <f>IF(D709=0,0,VLOOKUP($F$29,'Анализ стоимости'!$A$4:$DK$59,75,0)*100+100)</f>
        <v>#N/A</v>
      </c>
      <c r="J707" s="136" t="e">
        <f t="shared" ref="J707:J708" si="116">IF(D707=0,"",1)</f>
        <v>#N/A</v>
      </c>
    </row>
    <row r="708" spans="1:10">
      <c r="A708" s="252" t="e">
        <f>IF(D708=0,0,IF(D707=0,A706+1,A707+1))</f>
        <v>#N/A</v>
      </c>
      <c r="B708" s="253" t="s">
        <v>154</v>
      </c>
      <c r="C708" s="252" t="s">
        <v>156</v>
      </c>
      <c r="D708" s="257" t="e">
        <f>VLOOKUP($F$29,'Анализ стоимости'!$A$4:$DK$59,51,0)</f>
        <v>#N/A</v>
      </c>
      <c r="J708" s="136" t="e">
        <f t="shared" si="116"/>
        <v>#N/A</v>
      </c>
    </row>
    <row r="709" spans="1:10">
      <c r="A709" s="252" t="e">
        <f>IF(D709=0,0,IF(D708=0,A707+1,A708+1))</f>
        <v>#N/A</v>
      </c>
      <c r="B709" s="253" t="s">
        <v>155</v>
      </c>
      <c r="C709" s="252" t="s">
        <v>156</v>
      </c>
      <c r="D709" s="257" t="e">
        <f>VLOOKUP($F$29,'Анализ стоимости'!$A$4:$DK$59,61,0)</f>
        <v>#N/A</v>
      </c>
      <c r="J709" s="136" t="e">
        <f>IF(D709=0,"",1)</f>
        <v>#N/A</v>
      </c>
    </row>
    <row r="710" spans="1:10">
      <c r="A710" s="294" t="s">
        <v>157</v>
      </c>
      <c r="B710" s="294"/>
      <c r="C710" s="294"/>
      <c r="D710" s="294"/>
      <c r="J710" s="136" t="str">
        <f>IF($F$29=0,"",1)</f>
        <v/>
      </c>
    </row>
    <row r="711" spans="1:10" ht="31.5">
      <c r="A711" s="252" t="e">
        <f>IF(D711=0,0,IF(D709=0,IF(D708=0,A705+1,A708+1),A709+1))</f>
        <v>#N/A</v>
      </c>
      <c r="B711" s="258" t="s">
        <v>206</v>
      </c>
      <c r="C711" s="252" t="s">
        <v>156</v>
      </c>
      <c r="D711" s="257" t="e">
        <f>SUM(VLOOKUP($F$29,'Анализ стоимости'!$A$4:$DK$59,46,0),D708)</f>
        <v>#N/A</v>
      </c>
      <c r="E711" s="136"/>
      <c r="J711" s="136" t="e">
        <f t="shared" ref="J711:J717" si="117">IF(D711=0,"",1)</f>
        <v>#N/A</v>
      </c>
    </row>
    <row r="712" spans="1:10">
      <c r="A712" s="252" t="e">
        <f>IF(D712=0,0,A711+1)</f>
        <v>#N/A</v>
      </c>
      <c r="B712" s="258" t="s">
        <v>159</v>
      </c>
      <c r="C712" s="252" t="s">
        <v>156</v>
      </c>
      <c r="D712" s="257" t="e">
        <f>VLOOKUP($F$29,'Анализ стоимости'!$A$4:$DK$59,56,0)</f>
        <v>#N/A</v>
      </c>
      <c r="E712" s="136"/>
      <c r="J712" s="136" t="e">
        <f t="shared" si="117"/>
        <v>#N/A</v>
      </c>
    </row>
    <row r="713" spans="1:10">
      <c r="A713" s="252" t="e">
        <f>IF(D713=0,0,A712+1)</f>
        <v>#N/A</v>
      </c>
      <c r="B713" s="258" t="s">
        <v>205</v>
      </c>
      <c r="C713" s="252" t="s">
        <v>156</v>
      </c>
      <c r="D713" s="257" t="e">
        <f>SUM(D711:D712)</f>
        <v>#N/A</v>
      </c>
      <c r="E713" s="254" t="e">
        <f>VLOOKUP($F$29,'Анализ стоимости'!$A$4:$DK$59,76,0)</f>
        <v>#N/A</v>
      </c>
      <c r="J713" s="136" t="e">
        <f t="shared" si="117"/>
        <v>#N/A</v>
      </c>
    </row>
    <row r="714" spans="1:10" ht="31.5">
      <c r="A714" s="252" t="e">
        <f>IF(D714=0,0,IF(D713=0,IF(D709=0,A705+1,A709+1),A713+1))</f>
        <v>#N/A</v>
      </c>
      <c r="B714" s="258" t="s">
        <v>204</v>
      </c>
      <c r="C714" s="252" t="s">
        <v>156</v>
      </c>
      <c r="D714" s="257" t="e">
        <f>VLOOKUP($F$29,'Анализ стоимости'!$A$4:$DK$59,41,0)-VLOOKUP($F$29,'Анализ стоимости'!$A$4:$DK$59,46,0)+D709</f>
        <v>#N/A</v>
      </c>
      <c r="J714" s="136" t="e">
        <f t="shared" si="117"/>
        <v>#N/A</v>
      </c>
    </row>
    <row r="715" spans="1:10">
      <c r="A715" s="252" t="e">
        <f>IF(D715=0,0,A714+1)</f>
        <v>#N/A</v>
      </c>
      <c r="B715" s="258" t="s">
        <v>159</v>
      </c>
      <c r="C715" s="252" t="s">
        <v>156</v>
      </c>
      <c r="D715" s="257" t="e">
        <f>VLOOKUP($F$29,'Анализ стоимости'!$A$4:$DK$59,66,0)</f>
        <v>#N/A</v>
      </c>
      <c r="J715" s="136" t="e">
        <f t="shared" si="117"/>
        <v>#N/A</v>
      </c>
    </row>
    <row r="716" spans="1:10">
      <c r="A716" s="252" t="e">
        <f>IF(D716=0,0,A715+1)</f>
        <v>#N/A</v>
      </c>
      <c r="B716" s="258" t="s">
        <v>203</v>
      </c>
      <c r="C716" s="252" t="s">
        <v>156</v>
      </c>
      <c r="D716" s="257" t="e">
        <f>SUM(D714:D715)</f>
        <v>#N/A</v>
      </c>
      <c r="E716" s="254" t="e">
        <f>VLOOKUP($F$29,'Анализ стоимости'!$A$4:$DK$59,77,0)</f>
        <v>#N/A</v>
      </c>
      <c r="J716" s="136" t="e">
        <f t="shared" si="117"/>
        <v>#N/A</v>
      </c>
    </row>
    <row r="717" spans="1:10">
      <c r="A717" s="252" t="e">
        <f>IF(D717=0,0,A716+1)</f>
        <v>#N/A</v>
      </c>
      <c r="B717" s="258" t="s">
        <v>158</v>
      </c>
      <c r="C717" s="252" t="s">
        <v>156</v>
      </c>
      <c r="D717" s="257" t="e">
        <f>IF(OR(D713=0,D716=0),0,D716+D713)</f>
        <v>#N/A</v>
      </c>
      <c r="E717" s="254" t="e">
        <f>VLOOKUP($F$29,'Анализ стоимости'!$A$4:$DK$59,67,0)</f>
        <v>#N/A</v>
      </c>
      <c r="J717" s="136" t="e">
        <f t="shared" si="117"/>
        <v>#N/A</v>
      </c>
    </row>
    <row r="718" spans="1:10">
      <c r="A718" s="262"/>
      <c r="B718" s="262"/>
      <c r="C718" s="262"/>
      <c r="D718" s="263"/>
      <c r="J718" s="136" t="str">
        <f>IF($F$29=0,"",1)</f>
        <v/>
      </c>
    </row>
    <row r="719" spans="1:10" ht="31.5" customHeight="1">
      <c r="A719" s="289" t="str">
        <f>'Анализ стоимости'!M$52</f>
        <v>Заместитель главы Вышестеблиевского сельского поселения Темрюкского района</v>
      </c>
      <c r="B719" s="290"/>
      <c r="C719" s="264"/>
      <c r="D719" s="265" t="str">
        <f>CONCATENATE("_____________________ ",'Анализ стоимости'!M$53)</f>
        <v>_____________________ Н.Д.Шевченко</v>
      </c>
      <c r="G719" s="267" t="str">
        <f>A719</f>
        <v>Заместитель главы Вышестеблиевского сельского поселения Темрюкского района</v>
      </c>
      <c r="J719" s="136" t="str">
        <f>IF($F$12=0,"",1)</f>
        <v/>
      </c>
    </row>
    <row r="720" spans="1:10" s="237" customFormat="1" ht="5.25">
      <c r="A720" s="269"/>
      <c r="B720" s="269"/>
      <c r="C720" s="269"/>
      <c r="D720" s="270"/>
      <c r="G720" s="238"/>
      <c r="H720" s="238"/>
      <c r="I720" s="273"/>
      <c r="J720" s="277" t="str">
        <f>IF($F$12=0,"",1)</f>
        <v/>
      </c>
    </row>
    <row r="721" spans="1:10">
      <c r="A721" s="291">
        <f ca="1">TODAY()</f>
        <v>41941</v>
      </c>
      <c r="B721" s="291"/>
      <c r="C721" s="224"/>
      <c r="D721" s="224"/>
      <c r="J721" s="136" t="str">
        <f>IF($F$29=0,"",1)</f>
        <v/>
      </c>
    </row>
    <row r="722" spans="1:10">
      <c r="A722" s="295" t="s">
        <v>190</v>
      </c>
      <c r="B722" s="295"/>
      <c r="C722" s="295"/>
      <c r="D722" s="295"/>
      <c r="G722" s="226"/>
      <c r="H722" s="226"/>
      <c r="J722" s="136" t="str">
        <f t="shared" ref="J722:J739" si="118">IF($F$30=0,"",1)</f>
        <v/>
      </c>
    </row>
    <row r="723" spans="1:10">
      <c r="A723" s="296" t="e">
        <f>CONCATENATE("Наименование объекта: ",VLOOKUP($F$30,'Анализ стоимости'!$A$4:$DK$59,11+2,0))</f>
        <v>#N/A</v>
      </c>
      <c r="B723" s="296"/>
      <c r="C723" s="296"/>
      <c r="D723" s="296"/>
      <c r="I723" s="276" t="e">
        <f>A723</f>
        <v>#N/A</v>
      </c>
      <c r="J723" s="136" t="str">
        <f t="shared" si="118"/>
        <v/>
      </c>
    </row>
    <row r="724" spans="1:10" s="237" customFormat="1" ht="5.25">
      <c r="A724" s="246"/>
      <c r="B724" s="235"/>
      <c r="C724" s="235"/>
      <c r="D724" s="235"/>
      <c r="G724" s="238"/>
      <c r="H724" s="238"/>
      <c r="I724" s="273"/>
      <c r="J724" s="277" t="str">
        <f t="shared" si="118"/>
        <v/>
      </c>
    </row>
    <row r="725" spans="1:10">
      <c r="A725" s="248" t="s">
        <v>149</v>
      </c>
      <c r="B725" s="241"/>
      <c r="C725" s="241"/>
      <c r="D725" s="241"/>
      <c r="J725" s="136" t="str">
        <f t="shared" si="118"/>
        <v/>
      </c>
    </row>
    <row r="726" spans="1:10">
      <c r="A726" s="297" t="s">
        <v>150</v>
      </c>
      <c r="B726" s="297"/>
      <c r="C726" s="297"/>
      <c r="D726" s="297"/>
      <c r="J726" s="136" t="str">
        <f t="shared" si="118"/>
        <v/>
      </c>
    </row>
    <row r="727" spans="1:10" ht="47.25" customHeight="1">
      <c r="A727" s="249" t="s">
        <v>53</v>
      </c>
      <c r="B727" s="249" t="s">
        <v>87</v>
      </c>
      <c r="C727" s="298" t="e">
        <f>CONCATENATE("Стоимость  согласно сметной документации (руб.) в текущих ценах по состоянию на ",VLOOKUP($F$30,'Анализ стоимости'!$A$4:$BY$59,6+2,0)," г.")</f>
        <v>#N/A</v>
      </c>
      <c r="D727" s="299"/>
      <c r="H727" s="250" t="e">
        <f>C727</f>
        <v>#N/A</v>
      </c>
      <c r="J727" s="136" t="str">
        <f t="shared" si="118"/>
        <v/>
      </c>
    </row>
    <row r="728" spans="1:10">
      <c r="A728" s="252">
        <v>1</v>
      </c>
      <c r="B728" s="253" t="s">
        <v>28</v>
      </c>
      <c r="C728" s="292" t="e">
        <f>VLOOKUP($F$30,'Анализ стоимости'!$A$4:$BY$59,12+2,0)</f>
        <v>#N/A</v>
      </c>
      <c r="D728" s="293"/>
      <c r="J728" s="136" t="str">
        <f t="shared" si="118"/>
        <v/>
      </c>
    </row>
    <row r="729" spans="1:10">
      <c r="A729" s="252">
        <v>2</v>
      </c>
      <c r="B729" s="253" t="s">
        <v>23</v>
      </c>
      <c r="C729" s="292" t="e">
        <f>VLOOKUP($F$30,'Анализ стоимости'!$A$4:$DK$59,13+2,0)</f>
        <v>#N/A</v>
      </c>
      <c r="D729" s="293"/>
      <c r="J729" s="136" t="str">
        <f t="shared" si="118"/>
        <v/>
      </c>
    </row>
    <row r="730" spans="1:10" ht="31.5">
      <c r="A730" s="252">
        <v>3</v>
      </c>
      <c r="B730" s="253" t="s">
        <v>2</v>
      </c>
      <c r="C730" s="292" t="e">
        <f>VLOOKUP($F$30,'Анализ стоимости'!$A$4:$DK$59,14+2,0)</f>
        <v>#N/A</v>
      </c>
      <c r="D730" s="293"/>
      <c r="J730" s="136" t="str">
        <f t="shared" si="118"/>
        <v/>
      </c>
    </row>
    <row r="731" spans="1:10">
      <c r="A731" s="252">
        <v>4</v>
      </c>
      <c r="B731" s="253" t="s">
        <v>24</v>
      </c>
      <c r="C731" s="292" t="e">
        <f>VLOOKUP($F$30,'Анализ стоимости'!$A$4:$DK$59,15+2,0)</f>
        <v>#N/A</v>
      </c>
      <c r="D731" s="293"/>
      <c r="J731" s="136" t="str">
        <f t="shared" si="118"/>
        <v/>
      </c>
    </row>
    <row r="732" spans="1:10">
      <c r="A732" s="252">
        <v>5</v>
      </c>
      <c r="B732" s="253" t="s">
        <v>5</v>
      </c>
      <c r="C732" s="292" t="e">
        <f>VLOOKUP($F$30,'Анализ стоимости'!$A$4:$DK$59,16+2,0)</f>
        <v>#N/A</v>
      </c>
      <c r="D732" s="293"/>
      <c r="J732" s="136" t="str">
        <f t="shared" si="118"/>
        <v/>
      </c>
    </row>
    <row r="733" spans="1:10">
      <c r="A733" s="252">
        <v>6</v>
      </c>
      <c r="B733" s="253" t="s">
        <v>10</v>
      </c>
      <c r="C733" s="292" t="e">
        <f>VLOOKUP($F$30,'Анализ стоимости'!$A$4:$DK$59,20+2,0)</f>
        <v>#N/A</v>
      </c>
      <c r="D733" s="293"/>
      <c r="J733" s="136" t="str">
        <f t="shared" si="118"/>
        <v/>
      </c>
    </row>
    <row r="734" spans="1:10">
      <c r="A734" s="252">
        <v>7</v>
      </c>
      <c r="B734" s="253" t="s">
        <v>79</v>
      </c>
      <c r="C734" s="292" t="e">
        <f>VLOOKUP($F$30,'Анализ стоимости'!$A$4:$DK$59,21+2,0)+VLOOKUP($F$30,'Анализ стоимости'!$A$4:$DK$59,23+2,0)+VLOOKUP($F$30,'Анализ стоимости'!$A$4:$DK$59,24+2,0)+VLOOKUP($F$30,'Анализ стоимости'!$A$4:$DK$59,25+2,0)+VLOOKUP($F$30,'Анализ стоимости'!$A$4:$DK$59,26+2,0)+VLOOKUP($F$30,'Анализ стоимости'!$A$4:$DK$59,27+2,0)+VLOOKUP($F$30,'Анализ стоимости'!$A$4:$DK$59,28+2,0)+VLOOKUP($F$30,'Анализ стоимости'!$A$4:$DK$59,29+2,0)</f>
        <v>#N/A</v>
      </c>
      <c r="D734" s="293"/>
      <c r="J734" s="136" t="str">
        <f t="shared" si="118"/>
        <v/>
      </c>
    </row>
    <row r="735" spans="1:10">
      <c r="A735" s="252">
        <v>8</v>
      </c>
      <c r="B735" s="253" t="s">
        <v>46</v>
      </c>
      <c r="C735" s="292" t="e">
        <f>VLOOKUP($F$30,'Анализ стоимости'!$A$4:$DK$59,34+2,0)</f>
        <v>#N/A</v>
      </c>
      <c r="D735" s="293"/>
      <c r="J735" s="136" t="str">
        <f t="shared" si="118"/>
        <v/>
      </c>
    </row>
    <row r="736" spans="1:10">
      <c r="A736" s="252">
        <v>9</v>
      </c>
      <c r="B736" s="253" t="s">
        <v>169</v>
      </c>
      <c r="C736" s="292" t="e">
        <f>SUM(C728:D735)</f>
        <v>#N/A</v>
      </c>
      <c r="D736" s="293"/>
      <c r="J736" s="136" t="str">
        <f t="shared" si="118"/>
        <v/>
      </c>
    </row>
    <row r="737" spans="1:10">
      <c r="A737" s="294" t="s">
        <v>161</v>
      </c>
      <c r="B737" s="294"/>
      <c r="C737" s="294"/>
      <c r="D737" s="294"/>
      <c r="J737" s="136" t="str">
        <f t="shared" si="118"/>
        <v/>
      </c>
    </row>
    <row r="738" spans="1:10" ht="31.5">
      <c r="A738" s="255" t="s">
        <v>53</v>
      </c>
      <c r="B738" s="249" t="s">
        <v>15</v>
      </c>
      <c r="C738" s="249" t="s">
        <v>152</v>
      </c>
      <c r="D738" s="249" t="s">
        <v>88</v>
      </c>
      <c r="J738" s="136" t="str">
        <f t="shared" si="118"/>
        <v/>
      </c>
    </row>
    <row r="739" spans="1:10">
      <c r="A739" s="252">
        <v>10</v>
      </c>
      <c r="B739" s="252" t="e">
        <f>VLOOKUP((VLOOKUP($F$30,'Анализ стоимости'!$A$4:$BY$59,12,0)),'Расчет инфляции'!$BD$5:$BE$22,2,0)</f>
        <v>#N/A</v>
      </c>
      <c r="C739" s="252"/>
      <c r="D739" s="253"/>
      <c r="J739" s="136" t="str">
        <f t="shared" si="118"/>
        <v/>
      </c>
    </row>
    <row r="740" spans="1:10">
      <c r="A740" s="252" t="e">
        <f>IF(D740=0,0,A739+1)</f>
        <v>#N/A</v>
      </c>
      <c r="B740" s="253" t="e">
        <f>CONCATENATE("2014 г. (",CHOOSE(VLOOKUP(F$30,'Анализ стоимости'!$A$4:$DK$90,68,0),"Январь","Февраль","Март","Апрель","Май","Июнь","Июль","Август","Сентябрь","Октябрь","Ноябрь","Декабрь")," - ",CHOOSE(VLOOKUP(F$30,'Анализ стоимости'!$A$4:$DK$90,69,0),"Январь","Февраль","Март","Апрель","Май","Июнь","Июль","Август","Сентябрь","Октябрь","Ноябрь","Декабрь"),")")</f>
        <v>#N/A</v>
      </c>
      <c r="C740" s="252" t="s">
        <v>153</v>
      </c>
      <c r="D740" s="278" t="e">
        <f>IF(D742=0,0,VLOOKUP($F$30,'Анализ стоимости'!$A$4:$DK$59,74,0)*100+100)</f>
        <v>#N/A</v>
      </c>
      <c r="J740" s="136" t="e">
        <f>IF(D740=0,"",1)</f>
        <v>#N/A</v>
      </c>
    </row>
    <row r="741" spans="1:10">
      <c r="A741" s="252" t="e">
        <f>IF(D741=0,0,IF(D740=0,A739+1,A740+1))</f>
        <v>#N/A</v>
      </c>
      <c r="B741" s="253" t="e">
        <f>CONCATENATE("2015 г. (",CHOOSE(VLOOKUP(F$30,'Анализ стоимости'!$A$4:$DK$90,70,0),"Январь","Февраль","Март","Апрель","Май","Июнь","Июль","Август","Сентябрь","Октябрь","Ноябрь","Декабрь")," - ",CHOOSE(VLOOKUP(F$30,'Анализ стоимости'!$A$4:$DK$90,71,0),"Январь","Февраль","Март","Апрель","Май","Июнь","Июль","Август","Сентябрь","Октябрь","Ноябрь","Декабрь"),")")</f>
        <v>#N/A</v>
      </c>
      <c r="C741" s="252" t="s">
        <v>153</v>
      </c>
      <c r="D741" s="278" t="e">
        <f>IF(D743=0,0,VLOOKUP($F$30,'Анализ стоимости'!$A$4:$DK$59,75,0)*100+100)</f>
        <v>#N/A</v>
      </c>
      <c r="J741" s="136" t="e">
        <f t="shared" ref="J741:J742" si="119">IF(D741=0,"",1)</f>
        <v>#N/A</v>
      </c>
    </row>
    <row r="742" spans="1:10">
      <c r="A742" s="252" t="e">
        <f>IF(D742=0,0,IF(D741=0,A740+1,A741+1))</f>
        <v>#N/A</v>
      </c>
      <c r="B742" s="253" t="s">
        <v>154</v>
      </c>
      <c r="C742" s="252" t="s">
        <v>156</v>
      </c>
      <c r="D742" s="257" t="e">
        <f>VLOOKUP($F$30,'Анализ стоимости'!$A$4:$DK$59,51,0)</f>
        <v>#N/A</v>
      </c>
      <c r="J742" s="136" t="e">
        <f t="shared" si="119"/>
        <v>#N/A</v>
      </c>
    </row>
    <row r="743" spans="1:10">
      <c r="A743" s="252" t="e">
        <f>IF(D743=0,0,IF(D742=0,A741+1,A742+1))</f>
        <v>#N/A</v>
      </c>
      <c r="B743" s="253" t="s">
        <v>155</v>
      </c>
      <c r="C743" s="252" t="s">
        <v>156</v>
      </c>
      <c r="D743" s="257" t="e">
        <f>VLOOKUP($F$30,'Анализ стоимости'!$A$4:$DK$59,61,0)</f>
        <v>#N/A</v>
      </c>
      <c r="J743" s="136" t="e">
        <f>IF(D743=0,"",1)</f>
        <v>#N/A</v>
      </c>
    </row>
    <row r="744" spans="1:10">
      <c r="A744" s="294" t="s">
        <v>157</v>
      </c>
      <c r="B744" s="294"/>
      <c r="C744" s="294"/>
      <c r="D744" s="294"/>
      <c r="J744" s="136" t="str">
        <f>IF($F$30=0,"",1)</f>
        <v/>
      </c>
    </row>
    <row r="745" spans="1:10" ht="31.5">
      <c r="A745" s="252" t="e">
        <f>IF(D745=0,0,IF(D743=0,IF(D742=0,A739+1,A742+1),A743+1))</f>
        <v>#N/A</v>
      </c>
      <c r="B745" s="258" t="s">
        <v>206</v>
      </c>
      <c r="C745" s="252" t="s">
        <v>156</v>
      </c>
      <c r="D745" s="257" t="e">
        <f>SUM(VLOOKUP($F$30,'Анализ стоимости'!$A$4:$DK$59,46,0),D742)</f>
        <v>#N/A</v>
      </c>
      <c r="E745" s="136"/>
      <c r="J745" s="136" t="e">
        <f t="shared" ref="J745:J751" si="120">IF(D745=0,"",1)</f>
        <v>#N/A</v>
      </c>
    </row>
    <row r="746" spans="1:10">
      <c r="A746" s="252" t="e">
        <f>IF(D746=0,0,A745+1)</f>
        <v>#N/A</v>
      </c>
      <c r="B746" s="258" t="s">
        <v>159</v>
      </c>
      <c r="C746" s="252" t="s">
        <v>156</v>
      </c>
      <c r="D746" s="257" t="e">
        <f>VLOOKUP($F$30,'Анализ стоимости'!$A$4:$DK$59,56,0)</f>
        <v>#N/A</v>
      </c>
      <c r="E746" s="136"/>
      <c r="J746" s="136" t="e">
        <f t="shared" si="120"/>
        <v>#N/A</v>
      </c>
    </row>
    <row r="747" spans="1:10">
      <c r="A747" s="252" t="e">
        <f>IF(D747=0,0,A746+1)</f>
        <v>#N/A</v>
      </c>
      <c r="B747" s="258" t="s">
        <v>205</v>
      </c>
      <c r="C747" s="252" t="s">
        <v>156</v>
      </c>
      <c r="D747" s="257" t="e">
        <f>SUM(D745:D746)</f>
        <v>#N/A</v>
      </c>
      <c r="E747" s="254" t="e">
        <f>VLOOKUP($F$30,'Анализ стоимости'!$A$4:$DK$59,76,0)</f>
        <v>#N/A</v>
      </c>
      <c r="J747" s="136" t="e">
        <f t="shared" si="120"/>
        <v>#N/A</v>
      </c>
    </row>
    <row r="748" spans="1:10" ht="31.5">
      <c r="A748" s="252" t="e">
        <f>IF(D748=0,0,IF(D747=0,IF(D743=0,A739+1,A743+1),A747+1))</f>
        <v>#N/A</v>
      </c>
      <c r="B748" s="258" t="s">
        <v>204</v>
      </c>
      <c r="C748" s="252" t="s">
        <v>156</v>
      </c>
      <c r="D748" s="257" t="e">
        <f>VLOOKUP($F$30,'Анализ стоимости'!$A$4:$DK$59,41,0)-VLOOKUP($F$30,'Анализ стоимости'!$A$4:$DK$59,46,0)+D743</f>
        <v>#N/A</v>
      </c>
      <c r="J748" s="136" t="e">
        <f t="shared" si="120"/>
        <v>#N/A</v>
      </c>
    </row>
    <row r="749" spans="1:10">
      <c r="A749" s="252" t="e">
        <f>IF(D749=0,0,A748+1)</f>
        <v>#N/A</v>
      </c>
      <c r="B749" s="258" t="s">
        <v>159</v>
      </c>
      <c r="C749" s="252" t="s">
        <v>156</v>
      </c>
      <c r="D749" s="257" t="e">
        <f>VLOOKUP($F$30,'Анализ стоимости'!$A$4:$DK$59,66,0)</f>
        <v>#N/A</v>
      </c>
      <c r="J749" s="136" t="e">
        <f t="shared" si="120"/>
        <v>#N/A</v>
      </c>
    </row>
    <row r="750" spans="1:10">
      <c r="A750" s="252" t="e">
        <f>IF(D750=0,0,A749+1)</f>
        <v>#N/A</v>
      </c>
      <c r="B750" s="258" t="s">
        <v>203</v>
      </c>
      <c r="C750" s="252" t="s">
        <v>156</v>
      </c>
      <c r="D750" s="257" t="e">
        <f>SUM(D748:D749)</f>
        <v>#N/A</v>
      </c>
      <c r="E750" s="254" t="e">
        <f>VLOOKUP($F$30,'Анализ стоимости'!$A$4:$DK$59,77,0)</f>
        <v>#N/A</v>
      </c>
      <c r="J750" s="136" t="e">
        <f t="shared" si="120"/>
        <v>#N/A</v>
      </c>
    </row>
    <row r="751" spans="1:10">
      <c r="A751" s="252" t="e">
        <f>IF(D751=0,0,A750+1)</f>
        <v>#N/A</v>
      </c>
      <c r="B751" s="258" t="s">
        <v>158</v>
      </c>
      <c r="C751" s="252" t="s">
        <v>156</v>
      </c>
      <c r="D751" s="257" t="e">
        <f>IF(OR(D747=0,D750=0),0,D750+D747)</f>
        <v>#N/A</v>
      </c>
      <c r="E751" s="254" t="e">
        <f>VLOOKUP($F$30,'Анализ стоимости'!$A$4:$DK$59,67,0)</f>
        <v>#N/A</v>
      </c>
      <c r="J751" s="136" t="e">
        <f t="shared" si="120"/>
        <v>#N/A</v>
      </c>
    </row>
    <row r="752" spans="1:10">
      <c r="A752" s="262"/>
      <c r="B752" s="262"/>
      <c r="C752" s="262"/>
      <c r="D752" s="263"/>
      <c r="J752" s="136" t="str">
        <f>IF($F$30=0,"",1)</f>
        <v/>
      </c>
    </row>
    <row r="753" spans="1:10" ht="31.5" customHeight="1">
      <c r="A753" s="289" t="str">
        <f>'Анализ стоимости'!M$52</f>
        <v>Заместитель главы Вышестеблиевского сельского поселения Темрюкского района</v>
      </c>
      <c r="B753" s="290"/>
      <c r="C753" s="264"/>
      <c r="D753" s="265" t="str">
        <f>CONCATENATE("_____________________ ",'Анализ стоимости'!M$53)</f>
        <v>_____________________ Н.Д.Шевченко</v>
      </c>
      <c r="G753" s="267" t="str">
        <f>A753</f>
        <v>Заместитель главы Вышестеблиевского сельского поселения Темрюкского района</v>
      </c>
      <c r="J753" s="136" t="str">
        <f>IF($F$12=0,"",1)</f>
        <v/>
      </c>
    </row>
    <row r="754" spans="1:10" s="237" customFormat="1" ht="5.25">
      <c r="A754" s="269"/>
      <c r="B754" s="269"/>
      <c r="C754" s="269"/>
      <c r="D754" s="270"/>
      <c r="G754" s="238"/>
      <c r="H754" s="238"/>
      <c r="I754" s="273"/>
      <c r="J754" s="277" t="str">
        <f>IF($F$12=0,"",1)</f>
        <v/>
      </c>
    </row>
    <row r="755" spans="1:10">
      <c r="A755" s="291">
        <f ca="1">TODAY()</f>
        <v>41941</v>
      </c>
      <c r="B755" s="291"/>
      <c r="C755" s="224"/>
      <c r="D755" s="224"/>
      <c r="J755" s="136" t="str">
        <f>IF($F$30=0,"",1)</f>
        <v/>
      </c>
    </row>
    <row r="756" spans="1:10">
      <c r="A756" s="295" t="s">
        <v>191</v>
      </c>
      <c r="B756" s="295"/>
      <c r="C756" s="295"/>
      <c r="D756" s="295"/>
      <c r="G756" s="226"/>
      <c r="H756" s="226"/>
      <c r="J756" s="136" t="str">
        <f t="shared" ref="J756:J773" si="121">IF($F$31=0,"",1)</f>
        <v/>
      </c>
    </row>
    <row r="757" spans="1:10">
      <c r="A757" s="296" t="e">
        <f>CONCATENATE("Наименование объекта: ",VLOOKUP($F$31,'Анализ стоимости'!$A$4:$DK$59,11+2,0))</f>
        <v>#N/A</v>
      </c>
      <c r="B757" s="296"/>
      <c r="C757" s="296"/>
      <c r="D757" s="296"/>
      <c r="I757" s="276" t="e">
        <f>A757</f>
        <v>#N/A</v>
      </c>
      <c r="J757" s="136" t="str">
        <f t="shared" si="121"/>
        <v/>
      </c>
    </row>
    <row r="758" spans="1:10" s="237" customFormat="1" ht="5.25">
      <c r="A758" s="246"/>
      <c r="B758" s="235"/>
      <c r="C758" s="235"/>
      <c r="D758" s="235"/>
      <c r="G758" s="238"/>
      <c r="H758" s="238"/>
      <c r="I758" s="273"/>
      <c r="J758" s="277" t="str">
        <f t="shared" si="121"/>
        <v/>
      </c>
    </row>
    <row r="759" spans="1:10">
      <c r="A759" s="248" t="s">
        <v>149</v>
      </c>
      <c r="B759" s="241"/>
      <c r="C759" s="241"/>
      <c r="D759" s="241"/>
      <c r="J759" s="136" t="str">
        <f t="shared" si="121"/>
        <v/>
      </c>
    </row>
    <row r="760" spans="1:10">
      <c r="A760" s="297" t="s">
        <v>150</v>
      </c>
      <c r="B760" s="297"/>
      <c r="C760" s="297"/>
      <c r="D760" s="297"/>
      <c r="J760" s="136" t="str">
        <f t="shared" si="121"/>
        <v/>
      </c>
    </row>
    <row r="761" spans="1:10" ht="47.25" customHeight="1">
      <c r="A761" s="249" t="s">
        <v>53</v>
      </c>
      <c r="B761" s="249" t="s">
        <v>87</v>
      </c>
      <c r="C761" s="298" t="e">
        <f>CONCATENATE("Стоимость  согласно сметной документации (руб.) в текущих ценах по состоянию на ",VLOOKUP($F$31,'Анализ стоимости'!$A$4:$BY$59,6+2,0)," г.")</f>
        <v>#N/A</v>
      </c>
      <c r="D761" s="299"/>
      <c r="H761" s="250" t="e">
        <f>C761</f>
        <v>#N/A</v>
      </c>
      <c r="J761" s="136" t="str">
        <f t="shared" si="121"/>
        <v/>
      </c>
    </row>
    <row r="762" spans="1:10">
      <c r="A762" s="252">
        <v>1</v>
      </c>
      <c r="B762" s="253" t="s">
        <v>28</v>
      </c>
      <c r="C762" s="292" t="e">
        <f>VLOOKUP($F$31,'Анализ стоимости'!$A$4:$BY$59,12+2,0)</f>
        <v>#N/A</v>
      </c>
      <c r="D762" s="293"/>
      <c r="J762" s="136" t="str">
        <f t="shared" si="121"/>
        <v/>
      </c>
    </row>
    <row r="763" spans="1:10">
      <c r="A763" s="252">
        <v>2</v>
      </c>
      <c r="B763" s="253" t="s">
        <v>23</v>
      </c>
      <c r="C763" s="292" t="e">
        <f>VLOOKUP($F$31,'Анализ стоимости'!$A$4:$DK$59,13+2,0)</f>
        <v>#N/A</v>
      </c>
      <c r="D763" s="293"/>
      <c r="J763" s="136" t="str">
        <f t="shared" si="121"/>
        <v/>
      </c>
    </row>
    <row r="764" spans="1:10" ht="31.5">
      <c r="A764" s="252">
        <v>3</v>
      </c>
      <c r="B764" s="253" t="s">
        <v>2</v>
      </c>
      <c r="C764" s="292" t="e">
        <f>VLOOKUP($F$31,'Анализ стоимости'!$A$4:$DK$59,14+2,0)</f>
        <v>#N/A</v>
      </c>
      <c r="D764" s="293"/>
      <c r="J764" s="136" t="str">
        <f t="shared" si="121"/>
        <v/>
      </c>
    </row>
    <row r="765" spans="1:10">
      <c r="A765" s="252">
        <v>4</v>
      </c>
      <c r="B765" s="253" t="s">
        <v>24</v>
      </c>
      <c r="C765" s="292" t="e">
        <f>VLOOKUP($F$31,'Анализ стоимости'!$A$4:$DK$59,15+2,0)</f>
        <v>#N/A</v>
      </c>
      <c r="D765" s="293"/>
      <c r="J765" s="136" t="str">
        <f t="shared" si="121"/>
        <v/>
      </c>
    </row>
    <row r="766" spans="1:10">
      <c r="A766" s="252">
        <v>5</v>
      </c>
      <c r="B766" s="253" t="s">
        <v>5</v>
      </c>
      <c r="C766" s="292" t="e">
        <f>VLOOKUP($F$31,'Анализ стоимости'!$A$4:$DK$59,16+2,0)</f>
        <v>#N/A</v>
      </c>
      <c r="D766" s="293"/>
      <c r="J766" s="136" t="str">
        <f t="shared" si="121"/>
        <v/>
      </c>
    </row>
    <row r="767" spans="1:10">
      <c r="A767" s="252">
        <v>6</v>
      </c>
      <c r="B767" s="253" t="s">
        <v>10</v>
      </c>
      <c r="C767" s="292" t="e">
        <f>VLOOKUP($F$31,'Анализ стоимости'!$A$4:$DK$59,20+2,0)</f>
        <v>#N/A</v>
      </c>
      <c r="D767" s="293"/>
      <c r="J767" s="136" t="str">
        <f t="shared" si="121"/>
        <v/>
      </c>
    </row>
    <row r="768" spans="1:10">
      <c r="A768" s="252">
        <v>7</v>
      </c>
      <c r="B768" s="253" t="s">
        <v>79</v>
      </c>
      <c r="C768" s="292" t="e">
        <f>VLOOKUP($F$31,'Анализ стоимости'!$A$4:$DK$59,21+2,0)+VLOOKUP($F$31,'Анализ стоимости'!$A$4:$DK$59,23+2,0)+VLOOKUP($F$31,'Анализ стоимости'!$A$4:$DK$59,24+2,0)+VLOOKUP($F$31,'Анализ стоимости'!$A$4:$DK$59,25+2,0)+VLOOKUP($F$31,'Анализ стоимости'!$A$4:$DK$59,26+2,0)+VLOOKUP($F$31,'Анализ стоимости'!$A$4:$DK$59,27+2,0)+VLOOKUP($F$31,'Анализ стоимости'!$A$4:$DK$59,28+2,0)+VLOOKUP($F$31,'Анализ стоимости'!$A$4:$DK$59,29+2,0)</f>
        <v>#N/A</v>
      </c>
      <c r="D768" s="293"/>
      <c r="J768" s="136" t="str">
        <f t="shared" si="121"/>
        <v/>
      </c>
    </row>
    <row r="769" spans="1:10">
      <c r="A769" s="252">
        <v>8</v>
      </c>
      <c r="B769" s="253" t="s">
        <v>46</v>
      </c>
      <c r="C769" s="292" t="e">
        <f>VLOOKUP($F$31,'Анализ стоимости'!$A$4:$DK$59,34+2,0)</f>
        <v>#N/A</v>
      </c>
      <c r="D769" s="293"/>
      <c r="J769" s="136" t="str">
        <f t="shared" si="121"/>
        <v/>
      </c>
    </row>
    <row r="770" spans="1:10">
      <c r="A770" s="252">
        <v>9</v>
      </c>
      <c r="B770" s="253" t="s">
        <v>169</v>
      </c>
      <c r="C770" s="292" t="e">
        <f>SUM(C762:D769)</f>
        <v>#N/A</v>
      </c>
      <c r="D770" s="293"/>
      <c r="J770" s="136" t="str">
        <f t="shared" si="121"/>
        <v/>
      </c>
    </row>
    <row r="771" spans="1:10">
      <c r="A771" s="294" t="s">
        <v>161</v>
      </c>
      <c r="B771" s="294"/>
      <c r="C771" s="294"/>
      <c r="D771" s="294"/>
      <c r="J771" s="136" t="str">
        <f t="shared" si="121"/>
        <v/>
      </c>
    </row>
    <row r="772" spans="1:10" ht="31.5">
      <c r="A772" s="255" t="s">
        <v>53</v>
      </c>
      <c r="B772" s="249" t="s">
        <v>15</v>
      </c>
      <c r="C772" s="249" t="s">
        <v>152</v>
      </c>
      <c r="D772" s="249" t="s">
        <v>88</v>
      </c>
      <c r="J772" s="136" t="str">
        <f t="shared" si="121"/>
        <v/>
      </c>
    </row>
    <row r="773" spans="1:10">
      <c r="A773" s="252">
        <v>10</v>
      </c>
      <c r="B773" s="252" t="e">
        <f>VLOOKUP((VLOOKUP($F$31,'Анализ стоимости'!$A$4:$BY$59,12,0)),'Расчет инфляции'!$BD$5:$BE$22,2,0)</f>
        <v>#N/A</v>
      </c>
      <c r="C773" s="252"/>
      <c r="D773" s="253"/>
      <c r="J773" s="136" t="str">
        <f t="shared" si="121"/>
        <v/>
      </c>
    </row>
    <row r="774" spans="1:10">
      <c r="A774" s="252" t="e">
        <f>IF(D774=0,0,A773+1)</f>
        <v>#N/A</v>
      </c>
      <c r="B774" s="253" t="e">
        <f>CONCATENATE("2014 г. (",CHOOSE(VLOOKUP(F$31,'Анализ стоимости'!$A$4:$DK$90,68,0),"Январь","Февраль","Март","Апрель","Май","Июнь","Июль","Август","Сентябрь","Октябрь","Ноябрь","Декабрь")," - ",CHOOSE(VLOOKUP(F$31,'Анализ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774" s="252" t="s">
        <v>153</v>
      </c>
      <c r="D774" s="278" t="e">
        <f>IF(D776=0,0,VLOOKUP($F$31,'Анализ стоимости'!$A$4:$DK$59,74,0)*100+100)</f>
        <v>#N/A</v>
      </c>
      <c r="J774" s="136" t="e">
        <f>IF(D774=0,"",1)</f>
        <v>#N/A</v>
      </c>
    </row>
    <row r="775" spans="1:10">
      <c r="A775" s="252" t="e">
        <f>IF(D775=0,0,IF(D774=0,A773+1,A774+1))</f>
        <v>#N/A</v>
      </c>
      <c r="B775" s="253" t="e">
        <f>CONCATENATE("2015 г. (",CHOOSE(VLOOKUP(F$31,'Анализ стоимости'!$A$4:$DK$90,70,0),"Январь","Февраль","Март","Апрель","Май","Июнь","Июль","Август","Сентябрь","Октябрь","Ноябрь","Декабрь")," - ",CHOOSE(VLOOKUP(F$31,'Анализ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775" s="252" t="s">
        <v>153</v>
      </c>
      <c r="D775" s="278" t="e">
        <f>IF(D777=0,0,VLOOKUP($F$31,'Анализ стоимости'!$A$4:$DK$59,75,0)*100+100)</f>
        <v>#N/A</v>
      </c>
      <c r="J775" s="136" t="e">
        <f t="shared" ref="J775:J776" si="122">IF(D775=0,"",1)</f>
        <v>#N/A</v>
      </c>
    </row>
    <row r="776" spans="1:10">
      <c r="A776" s="252" t="e">
        <f>IF(D776=0,0,IF(D775=0,A774+1,A775+1))</f>
        <v>#N/A</v>
      </c>
      <c r="B776" s="253" t="s">
        <v>154</v>
      </c>
      <c r="C776" s="252" t="s">
        <v>156</v>
      </c>
      <c r="D776" s="257" t="e">
        <f>VLOOKUP($F$31,'Анализ стоимости'!$A$4:$DK$59,51,0)</f>
        <v>#N/A</v>
      </c>
      <c r="J776" s="136" t="e">
        <f t="shared" si="122"/>
        <v>#N/A</v>
      </c>
    </row>
    <row r="777" spans="1:10">
      <c r="A777" s="252" t="e">
        <f>IF(D777=0,0,IF(D776=0,A775+1,A776+1))</f>
        <v>#N/A</v>
      </c>
      <c r="B777" s="253" t="s">
        <v>155</v>
      </c>
      <c r="C777" s="252" t="s">
        <v>156</v>
      </c>
      <c r="D777" s="257" t="e">
        <f>VLOOKUP($F$31,'Анализ стоимости'!$A$4:$DK$59,61,0)</f>
        <v>#N/A</v>
      </c>
      <c r="J777" s="136" t="e">
        <f>IF(D777=0,"",1)</f>
        <v>#N/A</v>
      </c>
    </row>
    <row r="778" spans="1:10">
      <c r="A778" s="294" t="s">
        <v>157</v>
      </c>
      <c r="B778" s="294"/>
      <c r="C778" s="294"/>
      <c r="D778" s="294"/>
      <c r="J778" s="136" t="str">
        <f>IF($F$31=0,"",1)</f>
        <v/>
      </c>
    </row>
    <row r="779" spans="1:10" ht="31.5">
      <c r="A779" s="252" t="e">
        <f>IF(D779=0,0,IF(D777=0,IF(D776=0,A773+1,A776+1),A777+1))</f>
        <v>#N/A</v>
      </c>
      <c r="B779" s="258" t="s">
        <v>206</v>
      </c>
      <c r="C779" s="252" t="s">
        <v>156</v>
      </c>
      <c r="D779" s="257" t="e">
        <f>SUM(VLOOKUP($F$31,'Анализ стоимости'!$A$4:$DK$59,46,0),D776)</f>
        <v>#N/A</v>
      </c>
      <c r="E779" s="136"/>
      <c r="J779" s="136" t="e">
        <f t="shared" ref="J779:J785" si="123">IF(D779=0,"",1)</f>
        <v>#N/A</v>
      </c>
    </row>
    <row r="780" spans="1:10">
      <c r="A780" s="252" t="e">
        <f>IF(D780=0,0,A779+1)</f>
        <v>#N/A</v>
      </c>
      <c r="B780" s="258" t="s">
        <v>159</v>
      </c>
      <c r="C780" s="252" t="s">
        <v>156</v>
      </c>
      <c r="D780" s="257" t="e">
        <f>VLOOKUP($F$31,'Анализ стоимости'!$A$4:$DK$59,56,0)</f>
        <v>#N/A</v>
      </c>
      <c r="E780" s="136"/>
      <c r="J780" s="136" t="e">
        <f t="shared" si="123"/>
        <v>#N/A</v>
      </c>
    </row>
    <row r="781" spans="1:10">
      <c r="A781" s="252" t="e">
        <f>IF(D781=0,0,A780+1)</f>
        <v>#N/A</v>
      </c>
      <c r="B781" s="258" t="s">
        <v>205</v>
      </c>
      <c r="C781" s="252" t="s">
        <v>156</v>
      </c>
      <c r="D781" s="257" t="e">
        <f>SUM(D779:D780)</f>
        <v>#N/A</v>
      </c>
      <c r="E781" s="254" t="e">
        <f>VLOOKUP($F$31,'Анализ стоимости'!$A$4:$DK$59,76,0)</f>
        <v>#N/A</v>
      </c>
      <c r="J781" s="136" t="e">
        <f t="shared" si="123"/>
        <v>#N/A</v>
      </c>
    </row>
    <row r="782" spans="1:10" ht="31.5">
      <c r="A782" s="252" t="e">
        <f>IF(D782=0,0,IF(D781=0,IF(D777=0,A773+1,A777+1),A781+1))</f>
        <v>#N/A</v>
      </c>
      <c r="B782" s="258" t="s">
        <v>204</v>
      </c>
      <c r="C782" s="252" t="s">
        <v>156</v>
      </c>
      <c r="D782" s="257" t="e">
        <f>VLOOKUP($F$31,'Анализ стоимости'!$A$4:$DK$59,41,0)-VLOOKUP($F$31,'Анализ стоимости'!$A$4:$DK$59,46,0)+D777</f>
        <v>#N/A</v>
      </c>
      <c r="J782" s="136" t="e">
        <f t="shared" si="123"/>
        <v>#N/A</v>
      </c>
    </row>
    <row r="783" spans="1:10">
      <c r="A783" s="252" t="e">
        <f>IF(D783=0,0,A782+1)</f>
        <v>#N/A</v>
      </c>
      <c r="B783" s="258" t="s">
        <v>159</v>
      </c>
      <c r="C783" s="252" t="s">
        <v>156</v>
      </c>
      <c r="D783" s="257" t="e">
        <f>VLOOKUP($F$31,'Анализ стоимости'!$A$4:$DK$59,66,0)</f>
        <v>#N/A</v>
      </c>
      <c r="J783" s="136" t="e">
        <f t="shared" si="123"/>
        <v>#N/A</v>
      </c>
    </row>
    <row r="784" spans="1:10">
      <c r="A784" s="252" t="e">
        <f>IF(D784=0,0,A783+1)</f>
        <v>#N/A</v>
      </c>
      <c r="B784" s="258" t="s">
        <v>203</v>
      </c>
      <c r="C784" s="252" t="s">
        <v>156</v>
      </c>
      <c r="D784" s="257" t="e">
        <f>SUM(D782:D783)</f>
        <v>#N/A</v>
      </c>
      <c r="E784" s="254" t="e">
        <f>VLOOKUP($F$31,'Анализ стоимости'!$A$4:$DK$59,77,0)</f>
        <v>#N/A</v>
      </c>
      <c r="J784" s="136" t="e">
        <f t="shared" si="123"/>
        <v>#N/A</v>
      </c>
    </row>
    <row r="785" spans="1:10">
      <c r="A785" s="252" t="e">
        <f>IF(D785=0,0,A784+1)</f>
        <v>#N/A</v>
      </c>
      <c r="B785" s="258" t="s">
        <v>158</v>
      </c>
      <c r="C785" s="252" t="s">
        <v>156</v>
      </c>
      <c r="D785" s="257" t="e">
        <f>IF(OR(D781=0,D784=0),0,D784+D781)</f>
        <v>#N/A</v>
      </c>
      <c r="E785" s="254" t="e">
        <f>VLOOKUP($F$31,'Анализ стоимости'!$A$4:$DK$59,67,0)</f>
        <v>#N/A</v>
      </c>
      <c r="J785" s="136" t="e">
        <f t="shared" si="123"/>
        <v>#N/A</v>
      </c>
    </row>
    <row r="786" spans="1:10">
      <c r="A786" s="262"/>
      <c r="B786" s="262"/>
      <c r="C786" s="262"/>
      <c r="D786" s="263"/>
      <c r="J786" s="136" t="str">
        <f>IF($F$31=0,"",1)</f>
        <v/>
      </c>
    </row>
    <row r="787" spans="1:10" ht="31.5" customHeight="1">
      <c r="A787" s="289" t="str">
        <f>'Анализ стоимости'!M$52</f>
        <v>Заместитель главы Вышестеблиевского сельского поселения Темрюкского района</v>
      </c>
      <c r="B787" s="290"/>
      <c r="C787" s="264"/>
      <c r="D787" s="265" t="str">
        <f>CONCATENATE("_____________________ ",'Анализ стоимости'!M$53)</f>
        <v>_____________________ Н.Д.Шевченко</v>
      </c>
      <c r="G787" s="267" t="str">
        <f>A787</f>
        <v>Заместитель главы Вышестеблиевского сельского поселения Темрюкского района</v>
      </c>
      <c r="J787" s="136" t="str">
        <f>IF($F$12=0,"",1)</f>
        <v/>
      </c>
    </row>
    <row r="788" spans="1:10" s="237" customFormat="1" ht="5.25">
      <c r="A788" s="269"/>
      <c r="B788" s="269"/>
      <c r="C788" s="269"/>
      <c r="D788" s="270"/>
      <c r="G788" s="238"/>
      <c r="H788" s="238"/>
      <c r="I788" s="273"/>
      <c r="J788" s="277" t="str">
        <f>IF($F$12=0,"",1)</f>
        <v/>
      </c>
    </row>
    <row r="789" spans="1:10">
      <c r="A789" s="291">
        <f ca="1">TODAY()</f>
        <v>41941</v>
      </c>
      <c r="B789" s="291"/>
      <c r="C789" s="224"/>
      <c r="D789" s="224"/>
      <c r="J789" s="136" t="str">
        <f>IF($F$31=0,"",1)</f>
        <v/>
      </c>
    </row>
    <row r="790" spans="1:10">
      <c r="A790" s="295" t="s">
        <v>192</v>
      </c>
      <c r="B790" s="295"/>
      <c r="C790" s="295"/>
      <c r="D790" s="295"/>
      <c r="G790" s="226"/>
      <c r="H790" s="226"/>
      <c r="J790" s="136" t="str">
        <f t="shared" ref="J790:J807" si="124">IF($F$32=0,"",1)</f>
        <v/>
      </c>
    </row>
    <row r="791" spans="1:10">
      <c r="A791" s="296" t="e">
        <f>CONCATENATE("Наименование объекта: ",VLOOKUP($F$32,'Анализ стоимости'!$A$4:$DK$59,11+2,0))</f>
        <v>#N/A</v>
      </c>
      <c r="B791" s="296"/>
      <c r="C791" s="296"/>
      <c r="D791" s="296"/>
      <c r="I791" s="276" t="e">
        <f>A791</f>
        <v>#N/A</v>
      </c>
      <c r="J791" s="136" t="str">
        <f t="shared" si="124"/>
        <v/>
      </c>
    </row>
    <row r="792" spans="1:10" s="237" customFormat="1" ht="5.25">
      <c r="A792" s="246"/>
      <c r="B792" s="235"/>
      <c r="C792" s="235"/>
      <c r="D792" s="235"/>
      <c r="G792" s="238"/>
      <c r="H792" s="238"/>
      <c r="I792" s="273"/>
      <c r="J792" s="277" t="str">
        <f t="shared" si="124"/>
        <v/>
      </c>
    </row>
    <row r="793" spans="1:10">
      <c r="A793" s="248" t="s">
        <v>149</v>
      </c>
      <c r="B793" s="241"/>
      <c r="C793" s="241"/>
      <c r="D793" s="241"/>
      <c r="J793" s="136" t="str">
        <f t="shared" si="124"/>
        <v/>
      </c>
    </row>
    <row r="794" spans="1:10">
      <c r="A794" s="297" t="s">
        <v>150</v>
      </c>
      <c r="B794" s="297"/>
      <c r="C794" s="297"/>
      <c r="D794" s="297"/>
      <c r="J794" s="136" t="str">
        <f t="shared" si="124"/>
        <v/>
      </c>
    </row>
    <row r="795" spans="1:10" ht="47.25" customHeight="1">
      <c r="A795" s="249" t="s">
        <v>53</v>
      </c>
      <c r="B795" s="249" t="s">
        <v>87</v>
      </c>
      <c r="C795" s="298" t="e">
        <f>CONCATENATE("Стоимость  согласно сметной документации (руб.) в текущих ценах по состоянию на ",VLOOKUP($F$32,'Анализ стоимости'!$A$4:$BY$59,6+2,0)," г.")</f>
        <v>#N/A</v>
      </c>
      <c r="D795" s="299"/>
      <c r="H795" s="250" t="e">
        <f>C795</f>
        <v>#N/A</v>
      </c>
      <c r="J795" s="136" t="str">
        <f t="shared" si="124"/>
        <v/>
      </c>
    </row>
    <row r="796" spans="1:10">
      <c r="A796" s="252">
        <v>1</v>
      </c>
      <c r="B796" s="253" t="s">
        <v>28</v>
      </c>
      <c r="C796" s="292" t="e">
        <f>VLOOKUP($F$32,'Анализ стоимости'!$A$4:$BY$59,12+2,0)</f>
        <v>#N/A</v>
      </c>
      <c r="D796" s="293"/>
      <c r="J796" s="136" t="str">
        <f t="shared" si="124"/>
        <v/>
      </c>
    </row>
    <row r="797" spans="1:10">
      <c r="A797" s="252">
        <v>2</v>
      </c>
      <c r="B797" s="253" t="s">
        <v>23</v>
      </c>
      <c r="C797" s="292" t="e">
        <f>VLOOKUP($F$32,'Анализ стоимости'!$A$4:$DK$59,13+2,0)</f>
        <v>#N/A</v>
      </c>
      <c r="D797" s="293"/>
      <c r="J797" s="136" t="str">
        <f t="shared" si="124"/>
        <v/>
      </c>
    </row>
    <row r="798" spans="1:10" ht="31.5">
      <c r="A798" s="252">
        <v>3</v>
      </c>
      <c r="B798" s="253" t="s">
        <v>2</v>
      </c>
      <c r="C798" s="292" t="e">
        <f>VLOOKUP($F$32,'Анализ стоимости'!$A$4:$DK$59,14+2,0)</f>
        <v>#N/A</v>
      </c>
      <c r="D798" s="293"/>
      <c r="J798" s="136" t="str">
        <f t="shared" si="124"/>
        <v/>
      </c>
    </row>
    <row r="799" spans="1:10">
      <c r="A799" s="252">
        <v>4</v>
      </c>
      <c r="B799" s="253" t="s">
        <v>24</v>
      </c>
      <c r="C799" s="292" t="e">
        <f>VLOOKUP($F$32,'Анализ стоимости'!$A$4:$DK$59,15+2,0)</f>
        <v>#N/A</v>
      </c>
      <c r="D799" s="293"/>
      <c r="J799" s="136" t="str">
        <f t="shared" si="124"/>
        <v/>
      </c>
    </row>
    <row r="800" spans="1:10">
      <c r="A800" s="252">
        <v>5</v>
      </c>
      <c r="B800" s="253" t="s">
        <v>5</v>
      </c>
      <c r="C800" s="292" t="e">
        <f>VLOOKUP($F$32,'Анализ стоимости'!$A$4:$DK$59,16+2,0)</f>
        <v>#N/A</v>
      </c>
      <c r="D800" s="293"/>
      <c r="J800" s="136" t="str">
        <f t="shared" si="124"/>
        <v/>
      </c>
    </row>
    <row r="801" spans="1:10">
      <c r="A801" s="252">
        <v>6</v>
      </c>
      <c r="B801" s="253" t="s">
        <v>10</v>
      </c>
      <c r="C801" s="292" t="e">
        <f>VLOOKUP($F$32,'Анализ стоимости'!$A$4:$DK$59,20+2,0)</f>
        <v>#N/A</v>
      </c>
      <c r="D801" s="293"/>
      <c r="J801" s="136" t="str">
        <f t="shared" si="124"/>
        <v/>
      </c>
    </row>
    <row r="802" spans="1:10">
      <c r="A802" s="252">
        <v>7</v>
      </c>
      <c r="B802" s="253" t="s">
        <v>79</v>
      </c>
      <c r="C802" s="292" t="e">
        <f>VLOOKUP($F$32,'Анализ стоимости'!$A$4:$DK$59,21+2,0)+VLOOKUP($F$32,'Анализ стоимости'!$A$4:$DK$59,23+2,0)+VLOOKUP($F$32,'Анализ стоимости'!$A$4:$DK$59,24+2,0)+VLOOKUP($F$32,'Анализ стоимости'!$A$4:$DK$59,25+2,0)+VLOOKUP($F$32,'Анализ стоимости'!$A$4:$DK$59,26+2,0)+VLOOKUP($F$32,'Анализ стоимости'!$A$4:$DK$59,27+2,0)+VLOOKUP($F$32,'Анализ стоимости'!$A$4:$DK$59,28+2,0)+VLOOKUP($F$32,'Анализ стоимости'!$A$4:$DK$59,29+2,0)</f>
        <v>#N/A</v>
      </c>
      <c r="D802" s="293"/>
      <c r="J802" s="136" t="str">
        <f t="shared" si="124"/>
        <v/>
      </c>
    </row>
    <row r="803" spans="1:10">
      <c r="A803" s="252">
        <v>8</v>
      </c>
      <c r="B803" s="253" t="s">
        <v>46</v>
      </c>
      <c r="C803" s="292" t="e">
        <f>VLOOKUP($F$32,'Анализ стоимости'!$A$4:$DK$59,34+2,0)</f>
        <v>#N/A</v>
      </c>
      <c r="D803" s="293"/>
      <c r="J803" s="136" t="str">
        <f t="shared" si="124"/>
        <v/>
      </c>
    </row>
    <row r="804" spans="1:10">
      <c r="A804" s="252">
        <v>9</v>
      </c>
      <c r="B804" s="253" t="s">
        <v>169</v>
      </c>
      <c r="C804" s="292" t="e">
        <f>SUM(C796:D803)</f>
        <v>#N/A</v>
      </c>
      <c r="D804" s="293"/>
      <c r="J804" s="136" t="str">
        <f t="shared" si="124"/>
        <v/>
      </c>
    </row>
    <row r="805" spans="1:10">
      <c r="A805" s="294" t="s">
        <v>161</v>
      </c>
      <c r="B805" s="294"/>
      <c r="C805" s="294"/>
      <c r="D805" s="294"/>
      <c r="J805" s="136" t="str">
        <f t="shared" si="124"/>
        <v/>
      </c>
    </row>
    <row r="806" spans="1:10" ht="31.5">
      <c r="A806" s="255" t="s">
        <v>53</v>
      </c>
      <c r="B806" s="249" t="s">
        <v>15</v>
      </c>
      <c r="C806" s="249" t="s">
        <v>152</v>
      </c>
      <c r="D806" s="249" t="s">
        <v>88</v>
      </c>
      <c r="J806" s="136" t="str">
        <f t="shared" si="124"/>
        <v/>
      </c>
    </row>
    <row r="807" spans="1:10">
      <c r="A807" s="252">
        <v>10</v>
      </c>
      <c r="B807" s="252" t="e">
        <f>VLOOKUP((VLOOKUP($F$32,'Анализ стоимости'!$A$4:$BY$59,12,0)),'Расчет инфляции'!$BD$5:$BE$22,2,0)</f>
        <v>#N/A</v>
      </c>
      <c r="C807" s="252"/>
      <c r="D807" s="253"/>
      <c r="J807" s="136" t="str">
        <f t="shared" si="124"/>
        <v/>
      </c>
    </row>
    <row r="808" spans="1:10">
      <c r="A808" s="252" t="e">
        <f>IF(D808=0,0,A807+1)</f>
        <v>#N/A</v>
      </c>
      <c r="B808" s="253" t="e">
        <f>CONCATENATE("2014 г. (",CHOOSE(VLOOKUP(F$32,'Анализ стоимости'!$A$4:$DK$90,68,0),"Январь","Февраль","Март","Апрель","Май","Июнь","Июль","Август","Сентябрь","Октябрь","Ноябрь","Декабрь")," - ",CHOOSE(VLOOKUP(F$32,'Анализ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808" s="252" t="s">
        <v>153</v>
      </c>
      <c r="D808" s="278" t="e">
        <f>IF(D810=0,0,VLOOKUP($F$32,'Анализ стоимости'!$A$4:$DK$59,74,0)*100+100)</f>
        <v>#N/A</v>
      </c>
      <c r="J808" s="136" t="e">
        <f>IF(D808=0,"",1)</f>
        <v>#N/A</v>
      </c>
    </row>
    <row r="809" spans="1:10">
      <c r="A809" s="252" t="e">
        <f>IF(D809=0,0,IF(D808=0,A807+1,A808+1))</f>
        <v>#N/A</v>
      </c>
      <c r="B809" s="253" t="e">
        <f>CONCATENATE("2015 г. (",CHOOSE(VLOOKUP(F$32,'Анализ стоимости'!$A$4:$DK$90,70,0),"Январь","Февраль","Март","Апрель","Май","Июнь","Июль","Август","Сентябрь","Октябрь","Ноябрь","Декабрь")," - ",CHOOSE(VLOOKUP(F$32,'Анализ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809" s="252" t="s">
        <v>153</v>
      </c>
      <c r="D809" s="278" t="e">
        <f>IF(D811=0,0,VLOOKUP($F$32,'Анализ стоимости'!$A$4:$DK$59,75,0)*100+100)</f>
        <v>#N/A</v>
      </c>
      <c r="J809" s="136" t="e">
        <f t="shared" ref="J809:J810" si="125">IF(D809=0,"",1)</f>
        <v>#N/A</v>
      </c>
    </row>
    <row r="810" spans="1:10">
      <c r="A810" s="252" t="e">
        <f>IF(D810=0,0,IF(D809=0,A808+1,A809+1))</f>
        <v>#N/A</v>
      </c>
      <c r="B810" s="253" t="s">
        <v>154</v>
      </c>
      <c r="C810" s="252" t="s">
        <v>156</v>
      </c>
      <c r="D810" s="257" t="e">
        <f>VLOOKUP($F$32,'Анализ стоимости'!$A$4:$DK$59,51,0)</f>
        <v>#N/A</v>
      </c>
      <c r="J810" s="136" t="e">
        <f t="shared" si="125"/>
        <v>#N/A</v>
      </c>
    </row>
    <row r="811" spans="1:10">
      <c r="A811" s="252" t="e">
        <f>IF(D811=0,0,IF(D810=0,A809+1,A810+1))</f>
        <v>#N/A</v>
      </c>
      <c r="B811" s="253" t="s">
        <v>155</v>
      </c>
      <c r="C811" s="252" t="s">
        <v>156</v>
      </c>
      <c r="D811" s="257" t="e">
        <f>VLOOKUP($F$32,'Анализ стоимости'!$A$4:$DK$59,61,0)</f>
        <v>#N/A</v>
      </c>
      <c r="J811" s="136" t="e">
        <f>IF(D811=0,"",1)</f>
        <v>#N/A</v>
      </c>
    </row>
    <row r="812" spans="1:10">
      <c r="A812" s="294" t="s">
        <v>157</v>
      </c>
      <c r="B812" s="294"/>
      <c r="C812" s="294"/>
      <c r="D812" s="294"/>
      <c r="J812" s="136" t="str">
        <f>IF($F$32=0,"",1)</f>
        <v/>
      </c>
    </row>
    <row r="813" spans="1:10" ht="31.5">
      <c r="A813" s="252" t="e">
        <f>IF(D813=0,0,IF(D811=0,IF(D810=0,A807+1,A810+1),A811+1))</f>
        <v>#N/A</v>
      </c>
      <c r="B813" s="258" t="s">
        <v>206</v>
      </c>
      <c r="C813" s="252" t="s">
        <v>156</v>
      </c>
      <c r="D813" s="257" t="e">
        <f>SUM(VLOOKUP($F$32,'Анализ стоимости'!$A$4:$DK$59,46,0),D810)</f>
        <v>#N/A</v>
      </c>
      <c r="E813" s="136"/>
      <c r="J813" s="136" t="e">
        <f t="shared" ref="J813:J819" si="126">IF(D813=0,"",1)</f>
        <v>#N/A</v>
      </c>
    </row>
    <row r="814" spans="1:10">
      <c r="A814" s="252" t="e">
        <f>IF(D814=0,0,A813+1)</f>
        <v>#N/A</v>
      </c>
      <c r="B814" s="258" t="s">
        <v>159</v>
      </c>
      <c r="C814" s="252" t="s">
        <v>156</v>
      </c>
      <c r="D814" s="257" t="e">
        <f>VLOOKUP($F$32,'Анализ стоимости'!$A$4:$DK$59,56,0)</f>
        <v>#N/A</v>
      </c>
      <c r="E814" s="136"/>
      <c r="J814" s="136" t="e">
        <f t="shared" si="126"/>
        <v>#N/A</v>
      </c>
    </row>
    <row r="815" spans="1:10">
      <c r="A815" s="252" t="e">
        <f>IF(D815=0,0,A814+1)</f>
        <v>#N/A</v>
      </c>
      <c r="B815" s="258" t="s">
        <v>205</v>
      </c>
      <c r="C815" s="252" t="s">
        <v>156</v>
      </c>
      <c r="D815" s="257" t="e">
        <f>SUM(D813:D814)</f>
        <v>#N/A</v>
      </c>
      <c r="E815" s="254" t="e">
        <f>VLOOKUP($F$32,'Анализ стоимости'!$A$4:$DK$59,76,0)</f>
        <v>#N/A</v>
      </c>
      <c r="J815" s="136" t="e">
        <f t="shared" si="126"/>
        <v>#N/A</v>
      </c>
    </row>
    <row r="816" spans="1:10" ht="31.5">
      <c r="A816" s="252" t="e">
        <f>IF(D816=0,0,IF(D815=0,IF(D811=0,A807+1,A811+1),A815+1))</f>
        <v>#N/A</v>
      </c>
      <c r="B816" s="258" t="s">
        <v>204</v>
      </c>
      <c r="C816" s="252" t="s">
        <v>156</v>
      </c>
      <c r="D816" s="257" t="e">
        <f>VLOOKUP($F$32,'Анализ стоимости'!$A$4:$DK$59,41,0)-VLOOKUP($F$32,'Анализ стоимости'!$A$4:$DK$59,46,0)+D811</f>
        <v>#N/A</v>
      </c>
      <c r="J816" s="136" t="e">
        <f t="shared" si="126"/>
        <v>#N/A</v>
      </c>
    </row>
    <row r="817" spans="1:10">
      <c r="A817" s="252" t="e">
        <f>IF(D817=0,0,A816+1)</f>
        <v>#N/A</v>
      </c>
      <c r="B817" s="258" t="s">
        <v>159</v>
      </c>
      <c r="C817" s="252" t="s">
        <v>156</v>
      </c>
      <c r="D817" s="257" t="e">
        <f>VLOOKUP($F$32,'Анализ стоимости'!$A$4:$DK$59,66,0)</f>
        <v>#N/A</v>
      </c>
      <c r="J817" s="136" t="e">
        <f t="shared" si="126"/>
        <v>#N/A</v>
      </c>
    </row>
    <row r="818" spans="1:10">
      <c r="A818" s="252" t="e">
        <f>IF(D818=0,0,A817+1)</f>
        <v>#N/A</v>
      </c>
      <c r="B818" s="258" t="s">
        <v>203</v>
      </c>
      <c r="C818" s="252" t="s">
        <v>156</v>
      </c>
      <c r="D818" s="257" t="e">
        <f>SUM(D816:D817)</f>
        <v>#N/A</v>
      </c>
      <c r="E818" s="254" t="e">
        <f>VLOOKUP($F$32,'Анализ стоимости'!$A$4:$DK$59,77,0)</f>
        <v>#N/A</v>
      </c>
      <c r="J818" s="136" t="e">
        <f t="shared" si="126"/>
        <v>#N/A</v>
      </c>
    </row>
    <row r="819" spans="1:10">
      <c r="A819" s="252" t="e">
        <f>IF(D819=0,0,A818+1)</f>
        <v>#N/A</v>
      </c>
      <c r="B819" s="258" t="s">
        <v>158</v>
      </c>
      <c r="C819" s="252" t="s">
        <v>156</v>
      </c>
      <c r="D819" s="257" t="e">
        <f>IF(OR(D815=0,D818=0),0,D818+D815)</f>
        <v>#N/A</v>
      </c>
      <c r="E819" s="254" t="e">
        <f>VLOOKUP($F$32,'Анализ стоимости'!$A$4:$DK$59,67,0)</f>
        <v>#N/A</v>
      </c>
      <c r="J819" s="136" t="e">
        <f t="shared" si="126"/>
        <v>#N/A</v>
      </c>
    </row>
    <row r="820" spans="1:10">
      <c r="A820" s="262"/>
      <c r="B820" s="262"/>
      <c r="C820" s="262"/>
      <c r="D820" s="263"/>
      <c r="J820" s="136" t="str">
        <f>IF($F$32=0,"",1)</f>
        <v/>
      </c>
    </row>
    <row r="821" spans="1:10" ht="31.5" customHeight="1">
      <c r="A821" s="289" t="str">
        <f>'Анализ стоимости'!M$52</f>
        <v>Заместитель главы Вышестеблиевского сельского поселения Темрюкского района</v>
      </c>
      <c r="B821" s="290"/>
      <c r="C821" s="264"/>
      <c r="D821" s="265" t="str">
        <f>CONCATENATE("_____________________ ",'Анализ стоимости'!M$53)</f>
        <v>_____________________ Н.Д.Шевченко</v>
      </c>
      <c r="G821" s="267" t="str">
        <f>A821</f>
        <v>Заместитель главы Вышестеблиевского сельского поселения Темрюкского района</v>
      </c>
      <c r="J821" s="136" t="str">
        <f>IF($F$12=0,"",1)</f>
        <v/>
      </c>
    </row>
    <row r="822" spans="1:10" s="237" customFormat="1" ht="5.25">
      <c r="A822" s="269"/>
      <c r="B822" s="269"/>
      <c r="C822" s="269"/>
      <c r="D822" s="270"/>
      <c r="G822" s="238"/>
      <c r="H822" s="238"/>
      <c r="I822" s="273"/>
      <c r="J822" s="277" t="str">
        <f>IF($F$12=0,"",1)</f>
        <v/>
      </c>
    </row>
    <row r="823" spans="1:10">
      <c r="A823" s="291">
        <f ca="1">TODAY()</f>
        <v>41941</v>
      </c>
      <c r="B823" s="291"/>
      <c r="C823" s="224"/>
      <c r="D823" s="224"/>
      <c r="J823" s="136" t="str">
        <f>IF($F$32=0,"",1)</f>
        <v/>
      </c>
    </row>
    <row r="824" spans="1:10">
      <c r="A824" s="295" t="s">
        <v>193</v>
      </c>
      <c r="B824" s="295"/>
      <c r="C824" s="295"/>
      <c r="D824" s="295"/>
      <c r="G824" s="226"/>
      <c r="H824" s="226"/>
      <c r="J824" s="136" t="str">
        <f t="shared" ref="J824:J841" si="127">IF($F$33=0,"",1)</f>
        <v/>
      </c>
    </row>
    <row r="825" spans="1:10">
      <c r="A825" s="296" t="e">
        <f>CONCATENATE("Наименование объекта: ",VLOOKUP($F$33,'Анализ стоимости'!$A$4:$DK$59,11+2,0))</f>
        <v>#N/A</v>
      </c>
      <c r="B825" s="296"/>
      <c r="C825" s="296"/>
      <c r="D825" s="296"/>
      <c r="I825" s="276" t="e">
        <f>A825</f>
        <v>#N/A</v>
      </c>
      <c r="J825" s="136" t="str">
        <f t="shared" si="127"/>
        <v/>
      </c>
    </row>
    <row r="826" spans="1:10" s="237" customFormat="1" ht="5.25">
      <c r="A826" s="246"/>
      <c r="B826" s="235"/>
      <c r="C826" s="235"/>
      <c r="D826" s="235"/>
      <c r="G826" s="238"/>
      <c r="H826" s="238"/>
      <c r="I826" s="273"/>
      <c r="J826" s="277" t="str">
        <f t="shared" si="127"/>
        <v/>
      </c>
    </row>
    <row r="827" spans="1:10">
      <c r="A827" s="248" t="s">
        <v>149</v>
      </c>
      <c r="B827" s="241"/>
      <c r="C827" s="241"/>
      <c r="D827" s="241"/>
      <c r="J827" s="136" t="str">
        <f t="shared" si="127"/>
        <v/>
      </c>
    </row>
    <row r="828" spans="1:10">
      <c r="A828" s="297" t="s">
        <v>150</v>
      </c>
      <c r="B828" s="297"/>
      <c r="C828" s="297"/>
      <c r="D828" s="297"/>
      <c r="J828" s="136" t="str">
        <f t="shared" si="127"/>
        <v/>
      </c>
    </row>
    <row r="829" spans="1:10" ht="47.25" customHeight="1">
      <c r="A829" s="249" t="s">
        <v>53</v>
      </c>
      <c r="B829" s="249" t="s">
        <v>87</v>
      </c>
      <c r="C829" s="298" t="e">
        <f>CONCATENATE("Стоимость  согласно сметной документации (руб.) в текущих ценах по состоянию на ",VLOOKUP($F$33,'Анализ стоимости'!$A$4:$BY$59,6+2,0)," г.")</f>
        <v>#N/A</v>
      </c>
      <c r="D829" s="299"/>
      <c r="H829" s="250" t="e">
        <f>C829</f>
        <v>#N/A</v>
      </c>
      <c r="J829" s="136" t="str">
        <f t="shared" si="127"/>
        <v/>
      </c>
    </row>
    <row r="830" spans="1:10">
      <c r="A830" s="252">
        <v>1</v>
      </c>
      <c r="B830" s="253" t="s">
        <v>28</v>
      </c>
      <c r="C830" s="292" t="e">
        <f>VLOOKUP($F$33,'Анализ стоимости'!$A$4:$BY$59,12+2,0)</f>
        <v>#N/A</v>
      </c>
      <c r="D830" s="293"/>
      <c r="J830" s="136" t="str">
        <f t="shared" si="127"/>
        <v/>
      </c>
    </row>
    <row r="831" spans="1:10">
      <c r="A831" s="252">
        <v>2</v>
      </c>
      <c r="B831" s="253" t="s">
        <v>23</v>
      </c>
      <c r="C831" s="292" t="e">
        <f>VLOOKUP($F$33,'Анализ стоимости'!$A$4:$DK$59,13+2,0)</f>
        <v>#N/A</v>
      </c>
      <c r="D831" s="293"/>
      <c r="J831" s="136" t="str">
        <f t="shared" si="127"/>
        <v/>
      </c>
    </row>
    <row r="832" spans="1:10" ht="31.5">
      <c r="A832" s="252">
        <v>3</v>
      </c>
      <c r="B832" s="253" t="s">
        <v>2</v>
      </c>
      <c r="C832" s="292" t="e">
        <f>VLOOKUP($F$33,'Анализ стоимости'!$A$4:$DK$59,14+2,0)</f>
        <v>#N/A</v>
      </c>
      <c r="D832" s="293"/>
      <c r="J832" s="136" t="str">
        <f t="shared" si="127"/>
        <v/>
      </c>
    </row>
    <row r="833" spans="1:10">
      <c r="A833" s="252">
        <v>4</v>
      </c>
      <c r="B833" s="253" t="s">
        <v>24</v>
      </c>
      <c r="C833" s="292" t="e">
        <f>VLOOKUP($F$33,'Анализ стоимости'!$A$4:$DK$59,15+2,0)</f>
        <v>#N/A</v>
      </c>
      <c r="D833" s="293"/>
      <c r="J833" s="136" t="str">
        <f t="shared" si="127"/>
        <v/>
      </c>
    </row>
    <row r="834" spans="1:10">
      <c r="A834" s="252">
        <v>5</v>
      </c>
      <c r="B834" s="253" t="s">
        <v>5</v>
      </c>
      <c r="C834" s="292" t="e">
        <f>VLOOKUP($F$33,'Анализ стоимости'!$A$4:$DK$59,16+2,0)</f>
        <v>#N/A</v>
      </c>
      <c r="D834" s="293"/>
      <c r="J834" s="136" t="str">
        <f t="shared" si="127"/>
        <v/>
      </c>
    </row>
    <row r="835" spans="1:10">
      <c r="A835" s="252">
        <v>6</v>
      </c>
      <c r="B835" s="253" t="s">
        <v>10</v>
      </c>
      <c r="C835" s="292" t="e">
        <f>VLOOKUP($F$33,'Анализ стоимости'!$A$4:$DK$59,20+2,0)</f>
        <v>#N/A</v>
      </c>
      <c r="D835" s="293"/>
      <c r="J835" s="136" t="str">
        <f t="shared" si="127"/>
        <v/>
      </c>
    </row>
    <row r="836" spans="1:10">
      <c r="A836" s="252">
        <v>7</v>
      </c>
      <c r="B836" s="253" t="s">
        <v>79</v>
      </c>
      <c r="C836" s="292" t="e">
        <f>VLOOKUP($F$33,'Анализ стоимости'!$A$4:$DK$59,21+2,0)+VLOOKUP($F$33,'Анализ стоимости'!$A$4:$DK$59,23+2,0)+VLOOKUP($F$33,'Анализ стоимости'!$A$4:$DK$59,24+2,0)+VLOOKUP($F$33,'Анализ стоимости'!$A$4:$DK$59,25+2,0)+VLOOKUP($F$33,'Анализ стоимости'!$A$4:$DK$59,26+2,0)+VLOOKUP($F$33,'Анализ стоимости'!$A$4:$DK$59,27+2,0)+VLOOKUP($F$33,'Анализ стоимости'!$A$4:$DK$59,28+2,0)+VLOOKUP($F$33,'Анализ стоимости'!$A$4:$DK$59,29+2,0)</f>
        <v>#N/A</v>
      </c>
      <c r="D836" s="293"/>
      <c r="J836" s="136" t="str">
        <f t="shared" si="127"/>
        <v/>
      </c>
    </row>
    <row r="837" spans="1:10">
      <c r="A837" s="252">
        <v>8</v>
      </c>
      <c r="B837" s="253" t="s">
        <v>46</v>
      </c>
      <c r="C837" s="292" t="e">
        <f>VLOOKUP($F$33,'Анализ стоимости'!$A$4:$DK$59,34+2,0)</f>
        <v>#N/A</v>
      </c>
      <c r="D837" s="293"/>
      <c r="J837" s="136" t="str">
        <f t="shared" si="127"/>
        <v/>
      </c>
    </row>
    <row r="838" spans="1:10">
      <c r="A838" s="252">
        <v>9</v>
      </c>
      <c r="B838" s="253" t="s">
        <v>169</v>
      </c>
      <c r="C838" s="292" t="e">
        <f>SUM(C830:D837)</f>
        <v>#N/A</v>
      </c>
      <c r="D838" s="293"/>
      <c r="J838" s="136" t="str">
        <f t="shared" si="127"/>
        <v/>
      </c>
    </row>
    <row r="839" spans="1:10">
      <c r="A839" s="294" t="s">
        <v>161</v>
      </c>
      <c r="B839" s="294"/>
      <c r="C839" s="294"/>
      <c r="D839" s="294"/>
      <c r="J839" s="136" t="str">
        <f t="shared" si="127"/>
        <v/>
      </c>
    </row>
    <row r="840" spans="1:10" ht="31.5">
      <c r="A840" s="255" t="s">
        <v>53</v>
      </c>
      <c r="B840" s="249" t="s">
        <v>15</v>
      </c>
      <c r="C840" s="249" t="s">
        <v>152</v>
      </c>
      <c r="D840" s="249" t="s">
        <v>88</v>
      </c>
      <c r="J840" s="136" t="str">
        <f t="shared" si="127"/>
        <v/>
      </c>
    </row>
    <row r="841" spans="1:10">
      <c r="A841" s="252">
        <v>10</v>
      </c>
      <c r="B841" s="252" t="e">
        <f>VLOOKUP((VLOOKUP($F$33,'Анализ стоимости'!$A$4:$BY$59,12,0)),'Расчет инфляции'!$BD$5:$BE$22,2,0)</f>
        <v>#N/A</v>
      </c>
      <c r="C841" s="252"/>
      <c r="D841" s="253"/>
      <c r="J841" s="136" t="str">
        <f t="shared" si="127"/>
        <v/>
      </c>
    </row>
    <row r="842" spans="1:10">
      <c r="A842" s="252" t="e">
        <f>IF(D842=0,0,A841+1)</f>
        <v>#N/A</v>
      </c>
      <c r="B842" s="253" t="e">
        <f>CONCATENATE("2014 г. (",CHOOSE(VLOOKUP(F$33,'Анализ стоимости'!$A$4:$DK$90,68,0),"Январь","Февраль","Март","Апрель","Май","Июнь","Июль","Август","Сентябрь","Октябрь","Ноябрь","Декабрь")," - ",CHOOSE(VLOOKUP(F$33,'Анализ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842" s="252" t="s">
        <v>153</v>
      </c>
      <c r="D842" s="278" t="e">
        <f>IF(D844=0,0,VLOOKUP($F$33,'Анализ стоимости'!$A$4:$DK$59,74,0)*100+100)</f>
        <v>#N/A</v>
      </c>
      <c r="J842" s="136" t="e">
        <f>IF(D842=0,"",1)</f>
        <v>#N/A</v>
      </c>
    </row>
    <row r="843" spans="1:10">
      <c r="A843" s="252" t="e">
        <f>IF(D843=0,0,IF(D842=0,A841+1,A842+1))</f>
        <v>#N/A</v>
      </c>
      <c r="B843" s="253" t="e">
        <f>CONCATENATE("2015 г. (",CHOOSE(VLOOKUP(F$33,'Анализ стоимости'!$A$4:$DK$90,70,0),"Январь","Февраль","Март","Апрель","Май","Июнь","Июль","Август","Сентябрь","Октябрь","Ноябрь","Декабрь")," - ",CHOOSE(VLOOKUP(F$33,'Анализ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843" s="252" t="s">
        <v>153</v>
      </c>
      <c r="D843" s="278" t="e">
        <f>IF(D845=0,0,VLOOKUP($F$33,'Анализ стоимости'!$A$4:$DK$59,75,0)*100+100)</f>
        <v>#N/A</v>
      </c>
      <c r="J843" s="136" t="e">
        <f t="shared" ref="J843:J844" si="128">IF(D843=0,"",1)</f>
        <v>#N/A</v>
      </c>
    </row>
    <row r="844" spans="1:10">
      <c r="A844" s="252" t="e">
        <f>IF(D844=0,0,IF(D843=0,A842+1,A843+1))</f>
        <v>#N/A</v>
      </c>
      <c r="B844" s="253" t="s">
        <v>154</v>
      </c>
      <c r="C844" s="252" t="s">
        <v>156</v>
      </c>
      <c r="D844" s="257" t="e">
        <f>VLOOKUP($F$33,'Анализ стоимости'!$A$4:$DK$59,51,0)</f>
        <v>#N/A</v>
      </c>
      <c r="J844" s="136" t="e">
        <f t="shared" si="128"/>
        <v>#N/A</v>
      </c>
    </row>
    <row r="845" spans="1:10">
      <c r="A845" s="252" t="e">
        <f>IF(D845=0,0,IF(D844=0,A843+1,A844+1))</f>
        <v>#N/A</v>
      </c>
      <c r="B845" s="253" t="s">
        <v>155</v>
      </c>
      <c r="C845" s="252" t="s">
        <v>156</v>
      </c>
      <c r="D845" s="257" t="e">
        <f>VLOOKUP($F$33,'Анализ стоимости'!$A$4:$DK$59,61,0)</f>
        <v>#N/A</v>
      </c>
      <c r="J845" s="136" t="e">
        <f>IF(D845=0,"",1)</f>
        <v>#N/A</v>
      </c>
    </row>
    <row r="846" spans="1:10">
      <c r="A846" s="294" t="s">
        <v>157</v>
      </c>
      <c r="B846" s="294"/>
      <c r="C846" s="294"/>
      <c r="D846" s="294"/>
      <c r="J846" s="136" t="str">
        <f>IF($F$33=0,"",1)</f>
        <v/>
      </c>
    </row>
    <row r="847" spans="1:10" ht="31.5">
      <c r="A847" s="252" t="e">
        <f>IF(D847=0,0,IF(D845=0,IF(D844=0,A841+1,A844+1),A845+1))</f>
        <v>#N/A</v>
      </c>
      <c r="B847" s="258" t="s">
        <v>206</v>
      </c>
      <c r="C847" s="252" t="s">
        <v>156</v>
      </c>
      <c r="D847" s="257" t="e">
        <f>SUM(VLOOKUP($F$33,'Анализ стоимости'!$A$4:$DK$59,46,0),D844)</f>
        <v>#N/A</v>
      </c>
      <c r="E847" s="136"/>
      <c r="J847" s="136" t="e">
        <f t="shared" ref="J847:J853" si="129">IF(D847=0,"",1)</f>
        <v>#N/A</v>
      </c>
    </row>
    <row r="848" spans="1:10">
      <c r="A848" s="252" t="e">
        <f>IF(D848=0,0,A847+1)</f>
        <v>#N/A</v>
      </c>
      <c r="B848" s="258" t="s">
        <v>159</v>
      </c>
      <c r="C848" s="252" t="s">
        <v>156</v>
      </c>
      <c r="D848" s="257" t="e">
        <f>VLOOKUP($F$33,'Анализ стоимости'!$A$4:$DK$59,56,0)</f>
        <v>#N/A</v>
      </c>
      <c r="E848" s="136"/>
      <c r="J848" s="136" t="e">
        <f t="shared" si="129"/>
        <v>#N/A</v>
      </c>
    </row>
    <row r="849" spans="1:10">
      <c r="A849" s="252" t="e">
        <f>IF(D849=0,0,A848+1)</f>
        <v>#N/A</v>
      </c>
      <c r="B849" s="258" t="s">
        <v>205</v>
      </c>
      <c r="C849" s="252" t="s">
        <v>156</v>
      </c>
      <c r="D849" s="257" t="e">
        <f>SUM(D847:D848)</f>
        <v>#N/A</v>
      </c>
      <c r="E849" s="254" t="e">
        <f>VLOOKUP($F$33,'Анализ стоимости'!$A$4:$DK$59,76,0)</f>
        <v>#N/A</v>
      </c>
      <c r="J849" s="136" t="e">
        <f t="shared" si="129"/>
        <v>#N/A</v>
      </c>
    </row>
    <row r="850" spans="1:10" ht="31.5">
      <c r="A850" s="252" t="e">
        <f>IF(D850=0,0,IF(D849=0,IF(D845=0,A841+1,A845+1),A849+1))</f>
        <v>#N/A</v>
      </c>
      <c r="B850" s="258" t="s">
        <v>204</v>
      </c>
      <c r="C850" s="252" t="s">
        <v>156</v>
      </c>
      <c r="D850" s="257" t="e">
        <f>VLOOKUP($F$33,'Анализ стоимости'!$A$4:$DK$59,41,0)-VLOOKUP($F$33,'Анализ стоимости'!$A$4:$DK$59,46,0)+D845</f>
        <v>#N/A</v>
      </c>
      <c r="J850" s="136" t="e">
        <f t="shared" si="129"/>
        <v>#N/A</v>
      </c>
    </row>
    <row r="851" spans="1:10">
      <c r="A851" s="252" t="e">
        <f>IF(D851=0,0,A850+1)</f>
        <v>#N/A</v>
      </c>
      <c r="B851" s="258" t="s">
        <v>159</v>
      </c>
      <c r="C851" s="252" t="s">
        <v>156</v>
      </c>
      <c r="D851" s="257" t="e">
        <f>VLOOKUP($F$33,'Анализ стоимости'!$A$4:$DK$59,66,0)</f>
        <v>#N/A</v>
      </c>
      <c r="J851" s="136" t="e">
        <f t="shared" si="129"/>
        <v>#N/A</v>
      </c>
    </row>
    <row r="852" spans="1:10">
      <c r="A852" s="252" t="e">
        <f>IF(D852=0,0,A851+1)</f>
        <v>#N/A</v>
      </c>
      <c r="B852" s="258" t="s">
        <v>203</v>
      </c>
      <c r="C852" s="252" t="s">
        <v>156</v>
      </c>
      <c r="D852" s="257" t="e">
        <f>SUM(D850:D851)</f>
        <v>#N/A</v>
      </c>
      <c r="E852" s="254" t="e">
        <f>VLOOKUP($F$33,'Анализ стоимости'!$A$4:$DK$59,77,0)</f>
        <v>#N/A</v>
      </c>
      <c r="J852" s="136" t="e">
        <f t="shared" si="129"/>
        <v>#N/A</v>
      </c>
    </row>
    <row r="853" spans="1:10">
      <c r="A853" s="252" t="e">
        <f>IF(D853=0,0,A852+1)</f>
        <v>#N/A</v>
      </c>
      <c r="B853" s="258" t="s">
        <v>158</v>
      </c>
      <c r="C853" s="252" t="s">
        <v>156</v>
      </c>
      <c r="D853" s="257" t="e">
        <f>IF(OR(D849=0,D852=0),0,D852+D849)</f>
        <v>#N/A</v>
      </c>
      <c r="E853" s="254" t="e">
        <f>VLOOKUP($F$33,'Анализ стоимости'!$A$4:$DK$59,67,0)</f>
        <v>#N/A</v>
      </c>
      <c r="J853" s="136" t="e">
        <f t="shared" si="129"/>
        <v>#N/A</v>
      </c>
    </row>
    <row r="854" spans="1:10">
      <c r="A854" s="262"/>
      <c r="B854" s="262"/>
      <c r="C854" s="262"/>
      <c r="D854" s="263"/>
      <c r="J854" s="136" t="str">
        <f>IF($F$33=0,"",1)</f>
        <v/>
      </c>
    </row>
    <row r="855" spans="1:10" ht="31.5" customHeight="1">
      <c r="A855" s="289" t="str">
        <f>'Анализ стоимости'!M$52</f>
        <v>Заместитель главы Вышестеблиевского сельского поселения Темрюкского района</v>
      </c>
      <c r="B855" s="290"/>
      <c r="C855" s="264"/>
      <c r="D855" s="265" t="str">
        <f>CONCATENATE("_____________________ ",'Анализ стоимости'!M$53)</f>
        <v>_____________________ Н.Д.Шевченко</v>
      </c>
      <c r="G855" s="267" t="str">
        <f>A855</f>
        <v>Заместитель главы Вышестеблиевского сельского поселения Темрюкского района</v>
      </c>
      <c r="J855" s="136" t="str">
        <f>IF($F$12=0,"",1)</f>
        <v/>
      </c>
    </row>
    <row r="856" spans="1:10" s="237" customFormat="1" ht="5.25">
      <c r="A856" s="269"/>
      <c r="B856" s="269"/>
      <c r="C856" s="269"/>
      <c r="D856" s="270"/>
      <c r="G856" s="238"/>
      <c r="H856" s="238"/>
      <c r="I856" s="273"/>
      <c r="J856" s="277" t="str">
        <f>IF($F$12=0,"",1)</f>
        <v/>
      </c>
    </row>
    <row r="857" spans="1:10">
      <c r="A857" s="291">
        <f ca="1">TODAY()</f>
        <v>41941</v>
      </c>
      <c r="B857" s="291"/>
      <c r="C857" s="224"/>
      <c r="D857" s="224"/>
      <c r="J857" s="136" t="str">
        <f>IF($F$33=0,"",1)</f>
        <v/>
      </c>
    </row>
    <row r="858" spans="1:10">
      <c r="A858" s="295" t="s">
        <v>229</v>
      </c>
      <c r="B858" s="295"/>
      <c r="C858" s="295"/>
      <c r="D858" s="295"/>
      <c r="G858" s="226"/>
      <c r="H858" s="226"/>
      <c r="J858" s="136" t="str">
        <f t="shared" ref="J858:J875" si="130">IF($F$34=0,"",1)</f>
        <v/>
      </c>
    </row>
    <row r="859" spans="1:10">
      <c r="A859" s="296" t="e">
        <f>CONCATENATE("Наименование объекта: ",VLOOKUP($F$34,'Анализ стоимости'!$A$4:$DK$59,11+2,0))</f>
        <v>#N/A</v>
      </c>
      <c r="B859" s="296"/>
      <c r="C859" s="296"/>
      <c r="D859" s="296"/>
      <c r="I859" s="276" t="e">
        <f>A859</f>
        <v>#N/A</v>
      </c>
      <c r="J859" s="136" t="str">
        <f t="shared" si="130"/>
        <v/>
      </c>
    </row>
    <row r="860" spans="1:10" s="237" customFormat="1" ht="5.25">
      <c r="A860" s="246"/>
      <c r="B860" s="235"/>
      <c r="C860" s="235"/>
      <c r="D860" s="235"/>
      <c r="G860" s="238"/>
      <c r="H860" s="238"/>
      <c r="I860" s="273"/>
      <c r="J860" s="277" t="str">
        <f t="shared" si="130"/>
        <v/>
      </c>
    </row>
    <row r="861" spans="1:10">
      <c r="A861" s="248" t="s">
        <v>149</v>
      </c>
      <c r="B861" s="241"/>
      <c r="C861" s="241"/>
      <c r="D861" s="241"/>
      <c r="J861" s="136" t="str">
        <f t="shared" si="130"/>
        <v/>
      </c>
    </row>
    <row r="862" spans="1:10">
      <c r="A862" s="297" t="s">
        <v>150</v>
      </c>
      <c r="B862" s="297"/>
      <c r="C862" s="297"/>
      <c r="D862" s="297"/>
      <c r="J862" s="136" t="str">
        <f t="shared" si="130"/>
        <v/>
      </c>
    </row>
    <row r="863" spans="1:10" ht="47.25" customHeight="1">
      <c r="A863" s="249" t="s">
        <v>53</v>
      </c>
      <c r="B863" s="249" t="s">
        <v>87</v>
      </c>
      <c r="C863" s="298" t="e">
        <f>CONCATENATE("Стоимость  согласно сметной документации (руб.) в текущих ценах по состоянию на ",VLOOKUP($F$34,'Анализ стоимости'!$A$4:$BY$59,6+2,0)," г.")</f>
        <v>#N/A</v>
      </c>
      <c r="D863" s="299"/>
      <c r="H863" s="250" t="e">
        <f>C863</f>
        <v>#N/A</v>
      </c>
      <c r="J863" s="136" t="str">
        <f t="shared" si="130"/>
        <v/>
      </c>
    </row>
    <row r="864" spans="1:10">
      <c r="A864" s="252">
        <v>1</v>
      </c>
      <c r="B864" s="253" t="s">
        <v>28</v>
      </c>
      <c r="C864" s="292" t="e">
        <f>VLOOKUP($F$34,'Анализ стоимости'!$A$4:$BY$59,12+2,0)</f>
        <v>#N/A</v>
      </c>
      <c r="D864" s="293"/>
      <c r="J864" s="136" t="str">
        <f t="shared" si="130"/>
        <v/>
      </c>
    </row>
    <row r="865" spans="1:10">
      <c r="A865" s="252">
        <v>2</v>
      </c>
      <c r="B865" s="253" t="s">
        <v>23</v>
      </c>
      <c r="C865" s="292" t="e">
        <f>VLOOKUP($F$34,'Анализ стоимости'!$A$4:$DK$59,13+2,0)</f>
        <v>#N/A</v>
      </c>
      <c r="D865" s="293"/>
      <c r="J865" s="136" t="str">
        <f t="shared" si="130"/>
        <v/>
      </c>
    </row>
    <row r="866" spans="1:10" ht="31.5">
      <c r="A866" s="252">
        <v>3</v>
      </c>
      <c r="B866" s="253" t="s">
        <v>2</v>
      </c>
      <c r="C866" s="292" t="e">
        <f>VLOOKUP($F$34,'Анализ стоимости'!$A$4:$DK$59,14+2,0)</f>
        <v>#N/A</v>
      </c>
      <c r="D866" s="293"/>
      <c r="J866" s="136" t="str">
        <f t="shared" si="130"/>
        <v/>
      </c>
    </row>
    <row r="867" spans="1:10">
      <c r="A867" s="252">
        <v>4</v>
      </c>
      <c r="B867" s="253" t="s">
        <v>24</v>
      </c>
      <c r="C867" s="292" t="e">
        <f>VLOOKUP($F$34,'Анализ стоимости'!$A$4:$DK$59,15+2,0)</f>
        <v>#N/A</v>
      </c>
      <c r="D867" s="293"/>
      <c r="J867" s="136" t="str">
        <f t="shared" si="130"/>
        <v/>
      </c>
    </row>
    <row r="868" spans="1:10">
      <c r="A868" s="252">
        <v>5</v>
      </c>
      <c r="B868" s="253" t="s">
        <v>5</v>
      </c>
      <c r="C868" s="292" t="e">
        <f>VLOOKUP($F$34,'Анализ стоимости'!$A$4:$DK$59,16+2,0)</f>
        <v>#N/A</v>
      </c>
      <c r="D868" s="293"/>
      <c r="J868" s="136" t="str">
        <f t="shared" si="130"/>
        <v/>
      </c>
    </row>
    <row r="869" spans="1:10">
      <c r="A869" s="252">
        <v>6</v>
      </c>
      <c r="B869" s="253" t="s">
        <v>10</v>
      </c>
      <c r="C869" s="292" t="e">
        <f>VLOOKUP($F$34,'Анализ стоимости'!$A$4:$DK$59,20+2,0)</f>
        <v>#N/A</v>
      </c>
      <c r="D869" s="293"/>
      <c r="J869" s="136" t="str">
        <f t="shared" si="130"/>
        <v/>
      </c>
    </row>
    <row r="870" spans="1:10">
      <c r="A870" s="252">
        <v>7</v>
      </c>
      <c r="B870" s="253" t="s">
        <v>79</v>
      </c>
      <c r="C870" s="292" t="e">
        <f>VLOOKUP($F$34,'Анализ стоимости'!$A$4:$DK$59,21+2,0)+VLOOKUP($F$34,'Анализ стоимости'!$A$4:$DK$59,23+2,0)+VLOOKUP($F$34,'Анализ стоимости'!$A$4:$DK$59,24+2,0)+VLOOKUP($F$34,'Анализ стоимости'!$A$4:$DK$59,25+2,0)+VLOOKUP($F$34,'Анализ стоимости'!$A$4:$DK$59,26+2,0)+VLOOKUP($F$34,'Анализ стоимости'!$A$4:$DK$59,27+2,0)+VLOOKUP($F$34,'Анализ стоимости'!$A$4:$DK$59,28+2,0)+VLOOKUP($F$34,'Анализ стоимости'!$A$4:$DK$59,29+2,0)</f>
        <v>#N/A</v>
      </c>
      <c r="D870" s="293"/>
      <c r="J870" s="136" t="str">
        <f t="shared" si="130"/>
        <v/>
      </c>
    </row>
    <row r="871" spans="1:10">
      <c r="A871" s="252">
        <v>8</v>
      </c>
      <c r="B871" s="253" t="s">
        <v>46</v>
      </c>
      <c r="C871" s="292" t="e">
        <f>VLOOKUP($F$34,'Анализ стоимости'!$A$4:$DK$59,34+2,0)</f>
        <v>#N/A</v>
      </c>
      <c r="D871" s="293"/>
      <c r="J871" s="136" t="str">
        <f t="shared" si="130"/>
        <v/>
      </c>
    </row>
    <row r="872" spans="1:10">
      <c r="A872" s="252">
        <v>9</v>
      </c>
      <c r="B872" s="253" t="s">
        <v>169</v>
      </c>
      <c r="C872" s="292" t="e">
        <f>SUM(C864:D871)</f>
        <v>#N/A</v>
      </c>
      <c r="D872" s="293"/>
      <c r="J872" s="136" t="str">
        <f t="shared" si="130"/>
        <v/>
      </c>
    </row>
    <row r="873" spans="1:10">
      <c r="A873" s="294" t="s">
        <v>161</v>
      </c>
      <c r="B873" s="294"/>
      <c r="C873" s="294"/>
      <c r="D873" s="294"/>
      <c r="J873" s="136" t="str">
        <f t="shared" si="130"/>
        <v/>
      </c>
    </row>
    <row r="874" spans="1:10" ht="31.5">
      <c r="A874" s="255" t="s">
        <v>53</v>
      </c>
      <c r="B874" s="249" t="s">
        <v>15</v>
      </c>
      <c r="C874" s="249" t="s">
        <v>152</v>
      </c>
      <c r="D874" s="249" t="s">
        <v>88</v>
      </c>
      <c r="J874" s="136" t="str">
        <f t="shared" si="130"/>
        <v/>
      </c>
    </row>
    <row r="875" spans="1:10">
      <c r="A875" s="252">
        <v>10</v>
      </c>
      <c r="B875" s="252" t="e">
        <f>VLOOKUP((VLOOKUP($F$34,'Анализ стоимости'!$A$4:$BY$59,12,0)),'Расчет инфляции'!$BD$5:$BE$22,2,0)</f>
        <v>#N/A</v>
      </c>
      <c r="C875" s="252"/>
      <c r="D875" s="253"/>
      <c r="J875" s="136" t="str">
        <f t="shared" si="130"/>
        <v/>
      </c>
    </row>
    <row r="876" spans="1:10">
      <c r="A876" s="252" t="e">
        <f>IF(D876=0,0,A875+1)</f>
        <v>#N/A</v>
      </c>
      <c r="B876" s="253" t="e">
        <f>CONCATENATE("2014 г. (",CHOOSE(VLOOKUP(F$34,'Анализ стоимости'!$A$4:$DK$90,68,0),"Январь","Февраль","Март","Апрель","Май","Июнь","Июль","Август","Сентябрь","Октябрь","Ноябрь","Декабрь")," - ",CHOOSE(VLOOKUP(F$34,'Анализ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876" s="252" t="s">
        <v>153</v>
      </c>
      <c r="D876" s="278" t="e">
        <f>IF(D878=0,0,VLOOKUP($F$34,'Анализ стоимости'!$A$4:$DK$59,74,0)*100+100)</f>
        <v>#N/A</v>
      </c>
      <c r="J876" s="136" t="e">
        <f>IF(D876=0,"",1)</f>
        <v>#N/A</v>
      </c>
    </row>
    <row r="877" spans="1:10">
      <c r="A877" s="252" t="e">
        <f>IF(D877=0,0,IF(D876=0,A875+1,A876+1))</f>
        <v>#N/A</v>
      </c>
      <c r="B877" s="253" t="e">
        <f>CONCATENATE("2015 г. (",CHOOSE(VLOOKUP(F$34,'Анализ стоимости'!$A$4:$DK$90,70,0),"Январь","Февраль","Март","Апрель","Май","Июнь","Июль","Август","Сентябрь","Октябрь","Ноябрь","Декабрь")," - ",CHOOSE(VLOOKUP(F$34,'Анализ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877" s="252" t="s">
        <v>153</v>
      </c>
      <c r="D877" s="278" t="e">
        <f>IF(D879=0,0,VLOOKUP($F$34,'Анализ стоимости'!$A$4:$DK$59,75,0)*100+100)</f>
        <v>#N/A</v>
      </c>
      <c r="J877" s="136" t="e">
        <f t="shared" ref="J877:J878" si="131">IF(D877=0,"",1)</f>
        <v>#N/A</v>
      </c>
    </row>
    <row r="878" spans="1:10">
      <c r="A878" s="252" t="e">
        <f>IF(D878=0,0,IF(D877=0,A876+1,A877+1))</f>
        <v>#N/A</v>
      </c>
      <c r="B878" s="253" t="s">
        <v>154</v>
      </c>
      <c r="C878" s="252" t="s">
        <v>156</v>
      </c>
      <c r="D878" s="257" t="e">
        <f>VLOOKUP($F$34,'Анализ стоимости'!$A$4:$DK$59,51,0)</f>
        <v>#N/A</v>
      </c>
      <c r="J878" s="136" t="e">
        <f t="shared" si="131"/>
        <v>#N/A</v>
      </c>
    </row>
    <row r="879" spans="1:10">
      <c r="A879" s="252" t="e">
        <f>IF(D879=0,0,IF(D878=0,A877+1,A878+1))</f>
        <v>#N/A</v>
      </c>
      <c r="B879" s="253" t="s">
        <v>155</v>
      </c>
      <c r="C879" s="252" t="s">
        <v>156</v>
      </c>
      <c r="D879" s="257" t="e">
        <f>VLOOKUP($F$34,'Анализ стоимости'!$A$4:$DK$59,61,0)</f>
        <v>#N/A</v>
      </c>
      <c r="J879" s="136" t="e">
        <f>IF(D879=0,"",1)</f>
        <v>#N/A</v>
      </c>
    </row>
    <row r="880" spans="1:10">
      <c r="A880" s="294" t="s">
        <v>157</v>
      </c>
      <c r="B880" s="294"/>
      <c r="C880" s="294"/>
      <c r="D880" s="294"/>
      <c r="J880" s="136" t="str">
        <f>IF($F$34=0,"",1)</f>
        <v/>
      </c>
    </row>
    <row r="881" spans="1:10" ht="31.5">
      <c r="A881" s="252" t="e">
        <f>IF(D881=0,0,IF(D879=0,IF(D878=0,A875+1,A878+1),A879+1))</f>
        <v>#N/A</v>
      </c>
      <c r="B881" s="258" t="s">
        <v>206</v>
      </c>
      <c r="C881" s="252" t="s">
        <v>156</v>
      </c>
      <c r="D881" s="257" t="e">
        <f>SUM(VLOOKUP($F$34,'Анализ стоимости'!$A$4:$DK$59,46,0),D878)</f>
        <v>#N/A</v>
      </c>
      <c r="E881" s="136"/>
      <c r="J881" s="136" t="e">
        <f t="shared" ref="J881:J887" si="132">IF(D881=0,"",1)</f>
        <v>#N/A</v>
      </c>
    </row>
    <row r="882" spans="1:10">
      <c r="A882" s="252" t="e">
        <f>IF(D882=0,0,A881+1)</f>
        <v>#N/A</v>
      </c>
      <c r="B882" s="258" t="s">
        <v>159</v>
      </c>
      <c r="C882" s="252" t="s">
        <v>156</v>
      </c>
      <c r="D882" s="257" t="e">
        <f>VLOOKUP($F$34,'Анализ стоимости'!$A$4:$DK$59,56,0)</f>
        <v>#N/A</v>
      </c>
      <c r="E882" s="136"/>
      <c r="J882" s="136" t="e">
        <f t="shared" si="132"/>
        <v>#N/A</v>
      </c>
    </row>
    <row r="883" spans="1:10">
      <c r="A883" s="252" t="e">
        <f>IF(D883=0,0,A882+1)</f>
        <v>#N/A</v>
      </c>
      <c r="B883" s="258" t="s">
        <v>205</v>
      </c>
      <c r="C883" s="252" t="s">
        <v>156</v>
      </c>
      <c r="D883" s="257" t="e">
        <f>SUM(D881:D882)</f>
        <v>#N/A</v>
      </c>
      <c r="E883" s="254" t="e">
        <f>VLOOKUP($F$34,'Анализ стоимости'!$A$4:$DK$59,76,0)</f>
        <v>#N/A</v>
      </c>
      <c r="J883" s="136" t="e">
        <f t="shared" si="132"/>
        <v>#N/A</v>
      </c>
    </row>
    <row r="884" spans="1:10" ht="31.5">
      <c r="A884" s="252" t="e">
        <f>IF(D884=0,0,IF(D883=0,IF(D879=0,A875+1,A879+1),A883+1))</f>
        <v>#N/A</v>
      </c>
      <c r="B884" s="258" t="s">
        <v>204</v>
      </c>
      <c r="C884" s="252" t="s">
        <v>156</v>
      </c>
      <c r="D884" s="257" t="e">
        <f>VLOOKUP($F$34,'Анализ стоимости'!$A$4:$DK$59,41,0)-VLOOKUP($F$34,'Анализ стоимости'!$A$4:$DK$59,46,0)+D879</f>
        <v>#N/A</v>
      </c>
      <c r="J884" s="136" t="e">
        <f t="shared" si="132"/>
        <v>#N/A</v>
      </c>
    </row>
    <row r="885" spans="1:10">
      <c r="A885" s="252" t="e">
        <f>IF(D885=0,0,A884+1)</f>
        <v>#N/A</v>
      </c>
      <c r="B885" s="258" t="s">
        <v>159</v>
      </c>
      <c r="C885" s="252" t="s">
        <v>156</v>
      </c>
      <c r="D885" s="257" t="e">
        <f>VLOOKUP($F$34,'Анализ стоимости'!$A$4:$DK$59,66,0)</f>
        <v>#N/A</v>
      </c>
      <c r="J885" s="136" t="e">
        <f t="shared" si="132"/>
        <v>#N/A</v>
      </c>
    </row>
    <row r="886" spans="1:10">
      <c r="A886" s="252" t="e">
        <f>IF(D886=0,0,A885+1)</f>
        <v>#N/A</v>
      </c>
      <c r="B886" s="258" t="s">
        <v>203</v>
      </c>
      <c r="C886" s="252" t="s">
        <v>156</v>
      </c>
      <c r="D886" s="257" t="e">
        <f>SUM(D884:D885)</f>
        <v>#N/A</v>
      </c>
      <c r="E886" s="254" t="e">
        <f>VLOOKUP($F$34,'Анализ стоимости'!$A$4:$DK$59,77,0)</f>
        <v>#N/A</v>
      </c>
      <c r="J886" s="136" t="e">
        <f t="shared" si="132"/>
        <v>#N/A</v>
      </c>
    </row>
    <row r="887" spans="1:10">
      <c r="A887" s="252" t="e">
        <f>IF(D887=0,0,A886+1)</f>
        <v>#N/A</v>
      </c>
      <c r="B887" s="258" t="s">
        <v>158</v>
      </c>
      <c r="C887" s="252" t="s">
        <v>156</v>
      </c>
      <c r="D887" s="257" t="e">
        <f>IF(OR(D883=0,D886=0),0,D886+D883)</f>
        <v>#N/A</v>
      </c>
      <c r="E887" s="254" t="e">
        <f>VLOOKUP($F$34,'Анализ стоимости'!$A$4:$DK$59,67,0)</f>
        <v>#N/A</v>
      </c>
      <c r="J887" s="136" t="e">
        <f t="shared" si="132"/>
        <v>#N/A</v>
      </c>
    </row>
    <row r="888" spans="1:10">
      <c r="A888" s="262"/>
      <c r="B888" s="262"/>
      <c r="C888" s="262"/>
      <c r="D888" s="263"/>
      <c r="J888" s="136" t="str">
        <f>IF($F$34=0,"",1)</f>
        <v/>
      </c>
    </row>
    <row r="889" spans="1:10" ht="31.5" customHeight="1">
      <c r="A889" s="289" t="str">
        <f>'Анализ стоимости'!M$52</f>
        <v>Заместитель главы Вышестеблиевского сельского поселения Темрюкского района</v>
      </c>
      <c r="B889" s="290"/>
      <c r="C889" s="264"/>
      <c r="D889" s="265" t="str">
        <f>CONCATENATE("_____________________ ",'Анализ стоимости'!M$53)</f>
        <v>_____________________ Н.Д.Шевченко</v>
      </c>
      <c r="G889" s="267" t="str">
        <f>A889</f>
        <v>Заместитель главы Вышестеблиевского сельского поселения Темрюкского района</v>
      </c>
      <c r="J889" s="136" t="str">
        <f>IF($F$12=0,"",1)</f>
        <v/>
      </c>
    </row>
    <row r="890" spans="1:10" s="237" customFormat="1" ht="5.25">
      <c r="A890" s="269"/>
      <c r="B890" s="269"/>
      <c r="C890" s="269"/>
      <c r="D890" s="270"/>
      <c r="G890" s="238"/>
      <c r="H890" s="238"/>
      <c r="I890" s="273"/>
      <c r="J890" s="277" t="str">
        <f>IF($F$12=0,"",1)</f>
        <v/>
      </c>
    </row>
    <row r="891" spans="1:10">
      <c r="A891" s="291">
        <f ca="1">TODAY()</f>
        <v>41941</v>
      </c>
      <c r="B891" s="291"/>
      <c r="C891" s="224"/>
      <c r="D891" s="224"/>
      <c r="J891" s="136" t="str">
        <f>IF($F$34=0,"",1)</f>
        <v/>
      </c>
    </row>
    <row r="892" spans="1:10">
      <c r="A892" s="295" t="s">
        <v>230</v>
      </c>
      <c r="B892" s="295"/>
      <c r="C892" s="295"/>
      <c r="D892" s="295"/>
      <c r="G892" s="226"/>
      <c r="H892" s="226"/>
      <c r="J892" s="136" t="str">
        <f t="shared" ref="J892:J909" si="133">IF($F$35=0,"",1)</f>
        <v/>
      </c>
    </row>
    <row r="893" spans="1:10">
      <c r="A893" s="296" t="e">
        <f>CONCATENATE("Наименование объекта: ",VLOOKUP($F$35,'Анализ стоимости'!$A$4:$DK$59,11+2,0))</f>
        <v>#N/A</v>
      </c>
      <c r="B893" s="296"/>
      <c r="C893" s="296"/>
      <c r="D893" s="296"/>
      <c r="I893" s="276" t="e">
        <f>A893</f>
        <v>#N/A</v>
      </c>
      <c r="J893" s="136" t="str">
        <f t="shared" si="133"/>
        <v/>
      </c>
    </row>
    <row r="894" spans="1:10" s="237" customFormat="1" ht="5.25">
      <c r="A894" s="246"/>
      <c r="B894" s="235"/>
      <c r="C894" s="235"/>
      <c r="D894" s="235"/>
      <c r="G894" s="238"/>
      <c r="H894" s="238"/>
      <c r="I894" s="273"/>
      <c r="J894" s="277" t="str">
        <f t="shared" si="133"/>
        <v/>
      </c>
    </row>
    <row r="895" spans="1:10">
      <c r="A895" s="248" t="s">
        <v>149</v>
      </c>
      <c r="B895" s="241"/>
      <c r="C895" s="241"/>
      <c r="D895" s="241"/>
      <c r="J895" s="136" t="str">
        <f t="shared" si="133"/>
        <v/>
      </c>
    </row>
    <row r="896" spans="1:10">
      <c r="A896" s="297" t="s">
        <v>150</v>
      </c>
      <c r="B896" s="297"/>
      <c r="C896" s="297"/>
      <c r="D896" s="297"/>
      <c r="J896" s="136" t="str">
        <f t="shared" si="133"/>
        <v/>
      </c>
    </row>
    <row r="897" spans="1:10" ht="47.25" customHeight="1">
      <c r="A897" s="249" t="s">
        <v>53</v>
      </c>
      <c r="B897" s="249" t="s">
        <v>87</v>
      </c>
      <c r="C897" s="298" t="e">
        <f>CONCATENATE("Стоимость  согласно сметной документации (руб.) в текущих ценах по состоянию на ",VLOOKUP($F$35,'Анализ стоимости'!$A$4:$BY$59,6+2,0)," г.")</f>
        <v>#N/A</v>
      </c>
      <c r="D897" s="299"/>
      <c r="H897" s="250" t="e">
        <f>C897</f>
        <v>#N/A</v>
      </c>
      <c r="J897" s="136" t="str">
        <f t="shared" si="133"/>
        <v/>
      </c>
    </row>
    <row r="898" spans="1:10">
      <c r="A898" s="252">
        <v>1</v>
      </c>
      <c r="B898" s="253" t="s">
        <v>28</v>
      </c>
      <c r="C898" s="292" t="e">
        <f>VLOOKUP($F$35,'Анализ стоимости'!$A$4:$BY$59,12+2,0)</f>
        <v>#N/A</v>
      </c>
      <c r="D898" s="293"/>
      <c r="J898" s="136" t="str">
        <f t="shared" si="133"/>
        <v/>
      </c>
    </row>
    <row r="899" spans="1:10">
      <c r="A899" s="252">
        <v>2</v>
      </c>
      <c r="B899" s="253" t="s">
        <v>23</v>
      </c>
      <c r="C899" s="292" t="e">
        <f>VLOOKUP($F$35,'Анализ стоимости'!$A$4:$DK$59,13+2,0)</f>
        <v>#N/A</v>
      </c>
      <c r="D899" s="293"/>
      <c r="J899" s="136" t="str">
        <f t="shared" si="133"/>
        <v/>
      </c>
    </row>
    <row r="900" spans="1:10" ht="31.5">
      <c r="A900" s="252">
        <v>3</v>
      </c>
      <c r="B900" s="253" t="s">
        <v>2</v>
      </c>
      <c r="C900" s="292" t="e">
        <f>VLOOKUP($F$35,'Анализ стоимости'!$A$4:$DK$59,14+2,0)</f>
        <v>#N/A</v>
      </c>
      <c r="D900" s="293"/>
      <c r="J900" s="136" t="str">
        <f t="shared" si="133"/>
        <v/>
      </c>
    </row>
    <row r="901" spans="1:10">
      <c r="A901" s="252">
        <v>4</v>
      </c>
      <c r="B901" s="253" t="s">
        <v>24</v>
      </c>
      <c r="C901" s="292" t="e">
        <f>VLOOKUP($F$35,'Анализ стоимости'!$A$4:$DK$59,15+2,0)</f>
        <v>#N/A</v>
      </c>
      <c r="D901" s="293"/>
      <c r="J901" s="136" t="str">
        <f t="shared" si="133"/>
        <v/>
      </c>
    </row>
    <row r="902" spans="1:10">
      <c r="A902" s="252">
        <v>5</v>
      </c>
      <c r="B902" s="253" t="s">
        <v>5</v>
      </c>
      <c r="C902" s="292" t="e">
        <f>VLOOKUP($F$35,'Анализ стоимости'!$A$4:$DK$59,16+2,0)</f>
        <v>#N/A</v>
      </c>
      <c r="D902" s="293"/>
      <c r="J902" s="136" t="str">
        <f t="shared" si="133"/>
        <v/>
      </c>
    </row>
    <row r="903" spans="1:10">
      <c r="A903" s="252">
        <v>6</v>
      </c>
      <c r="B903" s="253" t="s">
        <v>10</v>
      </c>
      <c r="C903" s="292" t="e">
        <f>VLOOKUP($F$35,'Анализ стоимости'!$A$4:$DK$59,20+2,0)</f>
        <v>#N/A</v>
      </c>
      <c r="D903" s="293"/>
      <c r="J903" s="136" t="str">
        <f t="shared" si="133"/>
        <v/>
      </c>
    </row>
    <row r="904" spans="1:10">
      <c r="A904" s="252">
        <v>7</v>
      </c>
      <c r="B904" s="253" t="s">
        <v>79</v>
      </c>
      <c r="C904" s="292" t="e">
        <f>VLOOKUP($F$35,'Анализ стоимости'!$A$4:$DK$59,21+2,0)+VLOOKUP($F$35,'Анализ стоимости'!$A$4:$DK$59,23+2,0)+VLOOKUP($F$35,'Анализ стоимости'!$A$4:$DK$59,24+2,0)+VLOOKUP($F$35,'Анализ стоимости'!$A$4:$DK$59,25+2,0)+VLOOKUP($F$35,'Анализ стоимости'!$A$4:$DK$59,26+2,0)+VLOOKUP($F$35,'Анализ стоимости'!$A$4:$DK$59,27+2,0)+VLOOKUP($F$35,'Анализ стоимости'!$A$4:$DK$59,28+2,0)+VLOOKUP($F$35,'Анализ стоимости'!$A$4:$DK$59,29+2,0)</f>
        <v>#N/A</v>
      </c>
      <c r="D904" s="293"/>
      <c r="J904" s="136" t="str">
        <f t="shared" si="133"/>
        <v/>
      </c>
    </row>
    <row r="905" spans="1:10">
      <c r="A905" s="252">
        <v>8</v>
      </c>
      <c r="B905" s="253" t="s">
        <v>46</v>
      </c>
      <c r="C905" s="292" t="e">
        <f>VLOOKUP($F$35,'Анализ стоимости'!$A$4:$DK$59,34+2,0)</f>
        <v>#N/A</v>
      </c>
      <c r="D905" s="293"/>
      <c r="J905" s="136" t="str">
        <f t="shared" si="133"/>
        <v/>
      </c>
    </row>
    <row r="906" spans="1:10">
      <c r="A906" s="252">
        <v>9</v>
      </c>
      <c r="B906" s="253" t="s">
        <v>169</v>
      </c>
      <c r="C906" s="292" t="e">
        <f>SUM(C898:D905)</f>
        <v>#N/A</v>
      </c>
      <c r="D906" s="293"/>
      <c r="J906" s="136" t="str">
        <f t="shared" si="133"/>
        <v/>
      </c>
    </row>
    <row r="907" spans="1:10">
      <c r="A907" s="294" t="s">
        <v>161</v>
      </c>
      <c r="B907" s="294"/>
      <c r="C907" s="294"/>
      <c r="D907" s="294"/>
      <c r="J907" s="136" t="str">
        <f t="shared" si="133"/>
        <v/>
      </c>
    </row>
    <row r="908" spans="1:10" ht="31.5">
      <c r="A908" s="255" t="s">
        <v>53</v>
      </c>
      <c r="B908" s="249" t="s">
        <v>15</v>
      </c>
      <c r="C908" s="249" t="s">
        <v>152</v>
      </c>
      <c r="D908" s="249" t="s">
        <v>88</v>
      </c>
      <c r="J908" s="136" t="str">
        <f t="shared" si="133"/>
        <v/>
      </c>
    </row>
    <row r="909" spans="1:10">
      <c r="A909" s="252">
        <v>10</v>
      </c>
      <c r="B909" s="252" t="e">
        <f>VLOOKUP((VLOOKUP($F$35,'Анализ стоимости'!$A$4:$BY$59,12,0)),'Расчет инфляции'!$BD$5:$BE$22,2,0)</f>
        <v>#N/A</v>
      </c>
      <c r="C909" s="252"/>
      <c r="D909" s="253"/>
      <c r="J909" s="136" t="str">
        <f t="shared" si="133"/>
        <v/>
      </c>
    </row>
    <row r="910" spans="1:10">
      <c r="A910" s="252" t="e">
        <f>IF(D910=0,0,A909+1)</f>
        <v>#N/A</v>
      </c>
      <c r="B910" s="253" t="e">
        <f>CONCATENATE("2014 г. (",CHOOSE(VLOOKUP(F$35,'Анализ стоимости'!$A$4:$DK$90,68,0),"Январь","Февраль","Март","Апрель","Май","Июнь","Июль","Август","Сентябрь","Октябрь","Ноябрь","Декабрь")," - ",CHOOSE(VLOOKUP(F$35,'Анализ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10" s="252" t="s">
        <v>153</v>
      </c>
      <c r="D910" s="278" t="e">
        <f>IF(D912=0,0,VLOOKUP($F$35,'Анализ стоимости'!$A$4:$DK$59,74,0)*100+100)</f>
        <v>#N/A</v>
      </c>
      <c r="J910" s="136" t="e">
        <f>IF(D910=0,"",1)</f>
        <v>#N/A</v>
      </c>
    </row>
    <row r="911" spans="1:10">
      <c r="A911" s="252" t="e">
        <f>IF(D911=0,0,IF(D910=0,A909+1,A910+1))</f>
        <v>#N/A</v>
      </c>
      <c r="B911" s="253" t="e">
        <f>CONCATENATE("2015 г. (",CHOOSE(VLOOKUP(F$35,'Анализ стоимости'!$A$4:$DK$90,70,0),"Январь","Февраль","Март","Апрель","Май","Июнь","Июль","Август","Сентябрь","Октябрь","Ноябрь","Декабрь")," - ",CHOOSE(VLOOKUP(F$35,'Анализ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11" s="252" t="s">
        <v>153</v>
      </c>
      <c r="D911" s="278" t="e">
        <f>IF(D913=0,0,VLOOKUP($F$35,'Анализ стоимости'!$A$4:$DK$59,75,0)*100+100)</f>
        <v>#N/A</v>
      </c>
      <c r="J911" s="136" t="e">
        <f t="shared" ref="J911:J912" si="134">IF(D911=0,"",1)</f>
        <v>#N/A</v>
      </c>
    </row>
    <row r="912" spans="1:10">
      <c r="A912" s="252" t="e">
        <f>IF(D912=0,0,IF(D911=0,A910+1,A911+1))</f>
        <v>#N/A</v>
      </c>
      <c r="B912" s="253" t="s">
        <v>154</v>
      </c>
      <c r="C912" s="252" t="s">
        <v>156</v>
      </c>
      <c r="D912" s="257" t="e">
        <f>VLOOKUP($F$35,'Анализ стоимости'!$A$4:$DK$59,51,0)</f>
        <v>#N/A</v>
      </c>
      <c r="J912" s="136" t="e">
        <f t="shared" si="134"/>
        <v>#N/A</v>
      </c>
    </row>
    <row r="913" spans="1:10">
      <c r="A913" s="252" t="e">
        <f>IF(D913=0,0,IF(D912=0,A911+1,A912+1))</f>
        <v>#N/A</v>
      </c>
      <c r="B913" s="253" t="s">
        <v>155</v>
      </c>
      <c r="C913" s="252" t="s">
        <v>156</v>
      </c>
      <c r="D913" s="257" t="e">
        <f>VLOOKUP($F$35,'Анализ стоимости'!$A$4:$DK$59,61,0)</f>
        <v>#N/A</v>
      </c>
      <c r="J913" s="136" t="e">
        <f>IF(D913=0,"",1)</f>
        <v>#N/A</v>
      </c>
    </row>
    <row r="914" spans="1:10">
      <c r="A914" s="294" t="s">
        <v>157</v>
      </c>
      <c r="B914" s="294"/>
      <c r="C914" s="294"/>
      <c r="D914" s="294"/>
      <c r="J914" s="136" t="str">
        <f>IF($F$35=0,"",1)</f>
        <v/>
      </c>
    </row>
    <row r="915" spans="1:10" ht="31.5">
      <c r="A915" s="252" t="e">
        <f>IF(D915=0,0,IF(D913=0,IF(D912=0,A909+1,A912+1),A913+1))</f>
        <v>#N/A</v>
      </c>
      <c r="B915" s="258" t="s">
        <v>206</v>
      </c>
      <c r="C915" s="252" t="s">
        <v>156</v>
      </c>
      <c r="D915" s="257" t="e">
        <f>SUM(VLOOKUP($F$35,'Анализ стоимости'!$A$4:$DK$59,46,0),D912)</f>
        <v>#N/A</v>
      </c>
      <c r="E915" s="136"/>
      <c r="J915" s="136" t="e">
        <f t="shared" ref="J915:J921" si="135">IF(D915=0,"",1)</f>
        <v>#N/A</v>
      </c>
    </row>
    <row r="916" spans="1:10">
      <c r="A916" s="252" t="e">
        <f>IF(D916=0,0,A915+1)</f>
        <v>#N/A</v>
      </c>
      <c r="B916" s="258" t="s">
        <v>159</v>
      </c>
      <c r="C916" s="252" t="s">
        <v>156</v>
      </c>
      <c r="D916" s="257" t="e">
        <f>VLOOKUP($F$35,'Анализ стоимости'!$A$4:$DK$59,56,0)</f>
        <v>#N/A</v>
      </c>
      <c r="E916" s="136"/>
      <c r="J916" s="136" t="e">
        <f t="shared" si="135"/>
        <v>#N/A</v>
      </c>
    </row>
    <row r="917" spans="1:10">
      <c r="A917" s="252" t="e">
        <f>IF(D917=0,0,A916+1)</f>
        <v>#N/A</v>
      </c>
      <c r="B917" s="258" t="s">
        <v>205</v>
      </c>
      <c r="C917" s="252" t="s">
        <v>156</v>
      </c>
      <c r="D917" s="257" t="e">
        <f>SUM(D915:D916)</f>
        <v>#N/A</v>
      </c>
      <c r="E917" s="254" t="e">
        <f>VLOOKUP($F$35,'Анализ стоимости'!$A$4:$DK$59,76,0)</f>
        <v>#N/A</v>
      </c>
      <c r="J917" s="136" t="e">
        <f t="shared" si="135"/>
        <v>#N/A</v>
      </c>
    </row>
    <row r="918" spans="1:10" ht="31.5">
      <c r="A918" s="252" t="e">
        <f>IF(D918=0,0,IF(D917=0,IF(D913=0,A909+1,A913+1),A917+1))</f>
        <v>#N/A</v>
      </c>
      <c r="B918" s="258" t="s">
        <v>204</v>
      </c>
      <c r="C918" s="252" t="s">
        <v>156</v>
      </c>
      <c r="D918" s="257" t="e">
        <f>VLOOKUP($F$35,'Анализ стоимости'!$A$4:$DK$59,41,0)-VLOOKUP($F$35,'Анализ стоимости'!$A$4:$DK$59,46,0)+D913</f>
        <v>#N/A</v>
      </c>
      <c r="J918" s="136" t="e">
        <f t="shared" si="135"/>
        <v>#N/A</v>
      </c>
    </row>
    <row r="919" spans="1:10">
      <c r="A919" s="252" t="e">
        <f>IF(D919=0,0,A918+1)</f>
        <v>#N/A</v>
      </c>
      <c r="B919" s="258" t="s">
        <v>159</v>
      </c>
      <c r="C919" s="252" t="s">
        <v>156</v>
      </c>
      <c r="D919" s="257" t="e">
        <f>VLOOKUP($F$35,'Анализ стоимости'!$A$4:$DK$59,66,0)</f>
        <v>#N/A</v>
      </c>
      <c r="J919" s="136" t="e">
        <f t="shared" si="135"/>
        <v>#N/A</v>
      </c>
    </row>
    <row r="920" spans="1:10">
      <c r="A920" s="252" t="e">
        <f>IF(D920=0,0,A919+1)</f>
        <v>#N/A</v>
      </c>
      <c r="B920" s="258" t="s">
        <v>203</v>
      </c>
      <c r="C920" s="252" t="s">
        <v>156</v>
      </c>
      <c r="D920" s="257" t="e">
        <f>SUM(D918:D919)</f>
        <v>#N/A</v>
      </c>
      <c r="E920" s="254" t="e">
        <f>VLOOKUP($F$35,'Анализ стоимости'!$A$4:$DK$59,77,0)</f>
        <v>#N/A</v>
      </c>
      <c r="J920" s="136" t="e">
        <f t="shared" si="135"/>
        <v>#N/A</v>
      </c>
    </row>
    <row r="921" spans="1:10">
      <c r="A921" s="252" t="e">
        <f>IF(D921=0,0,A920+1)</f>
        <v>#N/A</v>
      </c>
      <c r="B921" s="258" t="s">
        <v>158</v>
      </c>
      <c r="C921" s="252" t="s">
        <v>156</v>
      </c>
      <c r="D921" s="257" t="e">
        <f>IF(OR(D917=0,D920=0),0,D920+D917)</f>
        <v>#N/A</v>
      </c>
      <c r="E921" s="254" t="e">
        <f>VLOOKUP($F$35,'Анализ стоимости'!$A$4:$DK$59,67,0)</f>
        <v>#N/A</v>
      </c>
      <c r="J921" s="136" t="e">
        <f t="shared" si="135"/>
        <v>#N/A</v>
      </c>
    </row>
    <row r="922" spans="1:10">
      <c r="A922" s="262"/>
      <c r="B922" s="262"/>
      <c r="C922" s="262"/>
      <c r="D922" s="263"/>
      <c r="J922" s="136" t="str">
        <f>IF($F$35=0,"",1)</f>
        <v/>
      </c>
    </row>
    <row r="923" spans="1:10" ht="31.5" customHeight="1">
      <c r="A923" s="289" t="str">
        <f>'Анализ стоимости'!M$52</f>
        <v>Заместитель главы Вышестеблиевского сельского поселения Темрюкского района</v>
      </c>
      <c r="B923" s="290"/>
      <c r="C923" s="264"/>
      <c r="D923" s="265" t="str">
        <f>CONCATENATE("_____________________ ",'Анализ стоимости'!M$53)</f>
        <v>_____________________ Н.Д.Шевченко</v>
      </c>
      <c r="G923" s="267" t="str">
        <f>A923</f>
        <v>Заместитель главы Вышестеблиевского сельского поселения Темрюкского района</v>
      </c>
      <c r="J923" s="136" t="str">
        <f>IF($F$12=0,"",1)</f>
        <v/>
      </c>
    </row>
    <row r="924" spans="1:10" s="237" customFormat="1" ht="5.25">
      <c r="A924" s="269"/>
      <c r="B924" s="269"/>
      <c r="C924" s="269"/>
      <c r="D924" s="270"/>
      <c r="G924" s="238"/>
      <c r="H924" s="238"/>
      <c r="I924" s="273"/>
      <c r="J924" s="277" t="str">
        <f>IF($F$12=0,"",1)</f>
        <v/>
      </c>
    </row>
    <row r="925" spans="1:10">
      <c r="A925" s="291">
        <f ca="1">TODAY()</f>
        <v>41941</v>
      </c>
      <c r="B925" s="291"/>
      <c r="C925" s="224"/>
      <c r="D925" s="224"/>
      <c r="J925" s="136" t="str">
        <f>IF($F$35=0,"",1)</f>
        <v/>
      </c>
    </row>
    <row r="926" spans="1:10">
      <c r="A926" s="295" t="s">
        <v>231</v>
      </c>
      <c r="B926" s="295"/>
      <c r="C926" s="295"/>
      <c r="D926" s="295"/>
      <c r="G926" s="226"/>
      <c r="H926" s="226"/>
      <c r="J926" s="136" t="str">
        <f t="shared" ref="J926:J943" si="136">IF($F$36=0,"",1)</f>
        <v/>
      </c>
    </row>
    <row r="927" spans="1:10">
      <c r="A927" s="296" t="e">
        <f>CONCATENATE("Наименование объекта: ",VLOOKUP($F$36,'Анализ стоимости'!$A$4:$DK$59,11+2,0))</f>
        <v>#N/A</v>
      </c>
      <c r="B927" s="296"/>
      <c r="C927" s="296"/>
      <c r="D927" s="296"/>
      <c r="I927" s="276" t="e">
        <f>A927</f>
        <v>#N/A</v>
      </c>
      <c r="J927" s="136" t="str">
        <f t="shared" si="136"/>
        <v/>
      </c>
    </row>
    <row r="928" spans="1:10" s="237" customFormat="1" ht="5.25">
      <c r="A928" s="246"/>
      <c r="B928" s="235"/>
      <c r="C928" s="235"/>
      <c r="D928" s="235"/>
      <c r="G928" s="238"/>
      <c r="H928" s="238"/>
      <c r="I928" s="273"/>
      <c r="J928" s="277" t="str">
        <f t="shared" si="136"/>
        <v/>
      </c>
    </row>
    <row r="929" spans="1:10">
      <c r="A929" s="248" t="s">
        <v>149</v>
      </c>
      <c r="B929" s="241"/>
      <c r="C929" s="241"/>
      <c r="D929" s="241"/>
      <c r="J929" s="136" t="str">
        <f t="shared" si="136"/>
        <v/>
      </c>
    </row>
    <row r="930" spans="1:10">
      <c r="A930" s="297" t="s">
        <v>150</v>
      </c>
      <c r="B930" s="297"/>
      <c r="C930" s="297"/>
      <c r="D930" s="297"/>
      <c r="J930" s="136" t="str">
        <f t="shared" si="136"/>
        <v/>
      </c>
    </row>
    <row r="931" spans="1:10" ht="47.25" customHeight="1">
      <c r="A931" s="249" t="s">
        <v>53</v>
      </c>
      <c r="B931" s="249" t="s">
        <v>87</v>
      </c>
      <c r="C931" s="298" t="e">
        <f>CONCATENATE("Стоимость  согласно сметной документации (руб.) в текущих ценах по состоянию на ",VLOOKUP($F$36,'Анализ стоимости'!$A$4:$BY$59,6+2,0)," г.")</f>
        <v>#N/A</v>
      </c>
      <c r="D931" s="299"/>
      <c r="H931" s="250" t="e">
        <f>C931</f>
        <v>#N/A</v>
      </c>
      <c r="J931" s="136" t="str">
        <f t="shared" si="136"/>
        <v/>
      </c>
    </row>
    <row r="932" spans="1:10">
      <c r="A932" s="252">
        <v>1</v>
      </c>
      <c r="B932" s="253" t="s">
        <v>28</v>
      </c>
      <c r="C932" s="292" t="e">
        <f>VLOOKUP($F$36,'Анализ стоимости'!$A$4:$BY$59,12+2,0)</f>
        <v>#N/A</v>
      </c>
      <c r="D932" s="293"/>
      <c r="J932" s="136" t="str">
        <f t="shared" si="136"/>
        <v/>
      </c>
    </row>
    <row r="933" spans="1:10">
      <c r="A933" s="252">
        <v>2</v>
      </c>
      <c r="B933" s="253" t="s">
        <v>23</v>
      </c>
      <c r="C933" s="292" t="e">
        <f>VLOOKUP($F$36,'Анализ стоимости'!$A$4:$DK$59,13+2,0)</f>
        <v>#N/A</v>
      </c>
      <c r="D933" s="293"/>
      <c r="J933" s="136" t="str">
        <f t="shared" si="136"/>
        <v/>
      </c>
    </row>
    <row r="934" spans="1:10" ht="31.5">
      <c r="A934" s="252">
        <v>3</v>
      </c>
      <c r="B934" s="253" t="s">
        <v>2</v>
      </c>
      <c r="C934" s="292" t="e">
        <f>VLOOKUP($F$36,'Анализ стоимости'!$A$4:$DK$59,14+2,0)</f>
        <v>#N/A</v>
      </c>
      <c r="D934" s="293"/>
      <c r="J934" s="136" t="str">
        <f t="shared" si="136"/>
        <v/>
      </c>
    </row>
    <row r="935" spans="1:10">
      <c r="A935" s="252">
        <v>4</v>
      </c>
      <c r="B935" s="253" t="s">
        <v>24</v>
      </c>
      <c r="C935" s="292" t="e">
        <f>VLOOKUP($F$36,'Анализ стоимости'!$A$4:$DK$59,15+2,0)</f>
        <v>#N/A</v>
      </c>
      <c r="D935" s="293"/>
      <c r="J935" s="136" t="str">
        <f t="shared" si="136"/>
        <v/>
      </c>
    </row>
    <row r="936" spans="1:10">
      <c r="A936" s="252">
        <v>5</v>
      </c>
      <c r="B936" s="253" t="s">
        <v>5</v>
      </c>
      <c r="C936" s="292" t="e">
        <f>VLOOKUP($F$36,'Анализ стоимости'!$A$4:$DK$59,16+2,0)</f>
        <v>#N/A</v>
      </c>
      <c r="D936" s="293"/>
      <c r="J936" s="136" t="str">
        <f t="shared" si="136"/>
        <v/>
      </c>
    </row>
    <row r="937" spans="1:10">
      <c r="A937" s="252">
        <v>6</v>
      </c>
      <c r="B937" s="253" t="s">
        <v>10</v>
      </c>
      <c r="C937" s="292" t="e">
        <f>VLOOKUP($F$36,'Анализ стоимости'!$A$4:$DK$59,20+2,0)</f>
        <v>#N/A</v>
      </c>
      <c r="D937" s="293"/>
      <c r="J937" s="136" t="str">
        <f t="shared" si="136"/>
        <v/>
      </c>
    </row>
    <row r="938" spans="1:10">
      <c r="A938" s="252">
        <v>7</v>
      </c>
      <c r="B938" s="253" t="s">
        <v>79</v>
      </c>
      <c r="C938" s="292" t="e">
        <f>VLOOKUP($F$36,'Анализ стоимости'!$A$4:$DK$59,21+2,0)+VLOOKUP($F$36,'Анализ стоимости'!$A$4:$DK$59,23+2,0)+VLOOKUP($F$36,'Анализ стоимости'!$A$4:$DK$59,24+2,0)+VLOOKUP($F$36,'Анализ стоимости'!$A$4:$DK$59,25+2,0)+VLOOKUP($F$36,'Анализ стоимости'!$A$4:$DK$59,26+2,0)+VLOOKUP($F$36,'Анализ стоимости'!$A$4:$DK$59,27+2,0)+VLOOKUP($F$36,'Анализ стоимости'!$A$4:$DK$59,28+2,0)+VLOOKUP($F$36,'Анализ стоимости'!$A$4:$DK$59,29+2,0)</f>
        <v>#N/A</v>
      </c>
      <c r="D938" s="293"/>
      <c r="J938" s="136" t="str">
        <f t="shared" si="136"/>
        <v/>
      </c>
    </row>
    <row r="939" spans="1:10">
      <c r="A939" s="252">
        <v>8</v>
      </c>
      <c r="B939" s="253" t="s">
        <v>46</v>
      </c>
      <c r="C939" s="292" t="e">
        <f>VLOOKUP($F$36,'Анализ стоимости'!$A$4:$DK$59,34+2,0)</f>
        <v>#N/A</v>
      </c>
      <c r="D939" s="293"/>
      <c r="J939" s="136" t="str">
        <f t="shared" si="136"/>
        <v/>
      </c>
    </row>
    <row r="940" spans="1:10">
      <c r="A940" s="252">
        <v>9</v>
      </c>
      <c r="B940" s="253" t="s">
        <v>169</v>
      </c>
      <c r="C940" s="292" t="e">
        <f>SUM(C932:D939)</f>
        <v>#N/A</v>
      </c>
      <c r="D940" s="293"/>
      <c r="J940" s="136" t="str">
        <f t="shared" si="136"/>
        <v/>
      </c>
    </row>
    <row r="941" spans="1:10">
      <c r="A941" s="294" t="s">
        <v>161</v>
      </c>
      <c r="B941" s="294"/>
      <c r="C941" s="294"/>
      <c r="D941" s="294"/>
      <c r="J941" s="136" t="str">
        <f t="shared" si="136"/>
        <v/>
      </c>
    </row>
    <row r="942" spans="1:10" ht="31.5">
      <c r="A942" s="255" t="s">
        <v>53</v>
      </c>
      <c r="B942" s="249" t="s">
        <v>15</v>
      </c>
      <c r="C942" s="249" t="s">
        <v>152</v>
      </c>
      <c r="D942" s="249" t="s">
        <v>88</v>
      </c>
      <c r="J942" s="136" t="str">
        <f t="shared" si="136"/>
        <v/>
      </c>
    </row>
    <row r="943" spans="1:10">
      <c r="A943" s="252">
        <v>10</v>
      </c>
      <c r="B943" s="252" t="e">
        <f>VLOOKUP((VLOOKUP($F$36,'Анализ стоимости'!$A$4:$BY$59,12,0)),'Расчет инфляции'!$BD$5:$BE$22,2,0)</f>
        <v>#N/A</v>
      </c>
      <c r="C943" s="252"/>
      <c r="D943" s="253"/>
      <c r="J943" s="136" t="str">
        <f t="shared" si="136"/>
        <v/>
      </c>
    </row>
    <row r="944" spans="1:10">
      <c r="A944" s="252" t="e">
        <f>IF(D944=0,0,A943+1)</f>
        <v>#N/A</v>
      </c>
      <c r="B944" s="253" t="e">
        <f>CONCATENATE("2014 г. (",CHOOSE(VLOOKUP(F$36,'Анализ стоимости'!$A$4:$DK$90,68,0),"Январь","Февраль","Март","Апрель","Май","Июнь","Июль","Август","Сентябрь","Октябрь","Ноябрь","Декабрь")," - ",CHOOSE(VLOOKUP(F$36,'Анализ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44" s="252" t="s">
        <v>153</v>
      </c>
      <c r="D944" s="278" t="e">
        <f>IF(D946=0,0,VLOOKUP($F$36,'Анализ стоимости'!$A$4:$DK$59,74,0)*100+100)</f>
        <v>#N/A</v>
      </c>
      <c r="J944" s="136" t="e">
        <f>IF(D944=0,"",1)</f>
        <v>#N/A</v>
      </c>
    </row>
    <row r="945" spans="1:10">
      <c r="A945" s="252" t="e">
        <f>IF(D945=0,0,IF(D944=0,A943+1,A944+1))</f>
        <v>#N/A</v>
      </c>
      <c r="B945" s="253" t="e">
        <f>CONCATENATE("2015 г. (",CHOOSE(VLOOKUP(F$36,'Анализ стоимости'!$A$4:$DK$90,70,0),"Январь","Февраль","Март","Апрель","Май","Июнь","Июль","Август","Сентябрь","Октябрь","Ноябрь","Декабрь")," - ",CHOOSE(VLOOKUP(F$36,'Анализ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45" s="252" t="s">
        <v>153</v>
      </c>
      <c r="D945" s="278" t="e">
        <f>IF(D947=0,0,VLOOKUP($F$36,'Анализ стоимости'!$A$4:$DK$59,75,0)*100+100)</f>
        <v>#N/A</v>
      </c>
      <c r="J945" s="136" t="e">
        <f t="shared" ref="J945:J946" si="137">IF(D945=0,"",1)</f>
        <v>#N/A</v>
      </c>
    </row>
    <row r="946" spans="1:10">
      <c r="A946" s="252" t="e">
        <f>IF(D946=0,0,IF(D945=0,A944+1,A945+1))</f>
        <v>#N/A</v>
      </c>
      <c r="B946" s="253" t="s">
        <v>154</v>
      </c>
      <c r="C946" s="252" t="s">
        <v>156</v>
      </c>
      <c r="D946" s="257" t="e">
        <f>VLOOKUP($F$36,'Анализ стоимости'!$A$4:$DK$59,51,0)</f>
        <v>#N/A</v>
      </c>
      <c r="J946" s="136" t="e">
        <f t="shared" si="137"/>
        <v>#N/A</v>
      </c>
    </row>
    <row r="947" spans="1:10">
      <c r="A947" s="252" t="e">
        <f>IF(D947=0,0,IF(D946=0,A945+1,A946+1))</f>
        <v>#N/A</v>
      </c>
      <c r="B947" s="253" t="s">
        <v>155</v>
      </c>
      <c r="C947" s="252" t="s">
        <v>156</v>
      </c>
      <c r="D947" s="257" t="e">
        <f>VLOOKUP($F$36,'Анализ стоимости'!$A$4:$DK$59,61,0)</f>
        <v>#N/A</v>
      </c>
      <c r="J947" s="136" t="e">
        <f>IF(D947=0,"",1)</f>
        <v>#N/A</v>
      </c>
    </row>
    <row r="948" spans="1:10">
      <c r="A948" s="294" t="s">
        <v>157</v>
      </c>
      <c r="B948" s="294"/>
      <c r="C948" s="294"/>
      <c r="D948" s="294"/>
      <c r="J948" s="136" t="str">
        <f>IF($F$36=0,"",1)</f>
        <v/>
      </c>
    </row>
    <row r="949" spans="1:10" ht="31.5">
      <c r="A949" s="252" t="e">
        <f>IF(D949=0,0,IF(D947=0,IF(D946=0,A943+1,A946+1),A947+1))</f>
        <v>#N/A</v>
      </c>
      <c r="B949" s="258" t="s">
        <v>206</v>
      </c>
      <c r="C949" s="252" t="s">
        <v>156</v>
      </c>
      <c r="D949" s="257" t="e">
        <f>SUM(VLOOKUP($F$36,'Анализ стоимости'!$A$4:$DK$59,46,0),D946)</f>
        <v>#N/A</v>
      </c>
      <c r="E949" s="136"/>
      <c r="J949" s="136" t="e">
        <f t="shared" ref="J949:J955" si="138">IF(D949=0,"",1)</f>
        <v>#N/A</v>
      </c>
    </row>
    <row r="950" spans="1:10">
      <c r="A950" s="252" t="e">
        <f>IF(D950=0,0,A949+1)</f>
        <v>#N/A</v>
      </c>
      <c r="B950" s="258" t="s">
        <v>159</v>
      </c>
      <c r="C950" s="252" t="s">
        <v>156</v>
      </c>
      <c r="D950" s="257" t="e">
        <f>VLOOKUP($F$36,'Анализ стоимости'!$A$4:$DK$59,56,0)</f>
        <v>#N/A</v>
      </c>
      <c r="E950" s="136"/>
      <c r="J950" s="136" t="e">
        <f t="shared" si="138"/>
        <v>#N/A</v>
      </c>
    </row>
    <row r="951" spans="1:10">
      <c r="A951" s="252" t="e">
        <f>IF(D951=0,0,A950+1)</f>
        <v>#N/A</v>
      </c>
      <c r="B951" s="258" t="s">
        <v>205</v>
      </c>
      <c r="C951" s="252" t="s">
        <v>156</v>
      </c>
      <c r="D951" s="257" t="e">
        <f>SUM(D949:D950)</f>
        <v>#N/A</v>
      </c>
      <c r="E951" s="254" t="e">
        <f>VLOOKUP($F$36,'Анализ стоимости'!$A$4:$DK$59,76,0)</f>
        <v>#N/A</v>
      </c>
      <c r="J951" s="136" t="e">
        <f t="shared" si="138"/>
        <v>#N/A</v>
      </c>
    </row>
    <row r="952" spans="1:10" ht="31.5">
      <c r="A952" s="252" t="e">
        <f>IF(D952=0,0,IF(D951=0,IF(D947=0,A943+1,A947+1),A951+1))</f>
        <v>#N/A</v>
      </c>
      <c r="B952" s="258" t="s">
        <v>204</v>
      </c>
      <c r="C952" s="252" t="s">
        <v>156</v>
      </c>
      <c r="D952" s="257" t="e">
        <f>VLOOKUP($F$36,'Анализ стоимости'!$A$4:$DK$59,41,0)-VLOOKUP($F$36,'Анализ стоимости'!$A$4:$DK$59,46,0)+D947</f>
        <v>#N/A</v>
      </c>
      <c r="J952" s="136" t="e">
        <f t="shared" si="138"/>
        <v>#N/A</v>
      </c>
    </row>
    <row r="953" spans="1:10">
      <c r="A953" s="252" t="e">
        <f>IF(D953=0,0,A952+1)</f>
        <v>#N/A</v>
      </c>
      <c r="B953" s="258" t="s">
        <v>159</v>
      </c>
      <c r="C953" s="252" t="s">
        <v>156</v>
      </c>
      <c r="D953" s="257" t="e">
        <f>VLOOKUP($F$36,'Анализ стоимости'!$A$4:$DK$59,66,0)</f>
        <v>#N/A</v>
      </c>
      <c r="J953" s="136" t="e">
        <f t="shared" si="138"/>
        <v>#N/A</v>
      </c>
    </row>
    <row r="954" spans="1:10">
      <c r="A954" s="252" t="e">
        <f>IF(D954=0,0,A953+1)</f>
        <v>#N/A</v>
      </c>
      <c r="B954" s="258" t="s">
        <v>203</v>
      </c>
      <c r="C954" s="252" t="s">
        <v>156</v>
      </c>
      <c r="D954" s="257" t="e">
        <f>SUM(D952:D953)</f>
        <v>#N/A</v>
      </c>
      <c r="E954" s="254" t="e">
        <f>VLOOKUP($F$36,'Анализ стоимости'!$A$4:$DK$59,77,0)</f>
        <v>#N/A</v>
      </c>
      <c r="J954" s="136" t="e">
        <f t="shared" si="138"/>
        <v>#N/A</v>
      </c>
    </row>
    <row r="955" spans="1:10">
      <c r="A955" s="252" t="e">
        <f>IF(D955=0,0,A954+1)</f>
        <v>#N/A</v>
      </c>
      <c r="B955" s="258" t="s">
        <v>158</v>
      </c>
      <c r="C955" s="252" t="s">
        <v>156</v>
      </c>
      <c r="D955" s="257" t="e">
        <f>IF(OR(D951=0,D954=0),0,D954+D951)</f>
        <v>#N/A</v>
      </c>
      <c r="E955" s="254" t="e">
        <f>VLOOKUP($F$36,'Анализ стоимости'!$A$4:$DK$59,67,0)</f>
        <v>#N/A</v>
      </c>
      <c r="J955" s="136" t="e">
        <f t="shared" si="138"/>
        <v>#N/A</v>
      </c>
    </row>
    <row r="956" spans="1:10">
      <c r="A956" s="262"/>
      <c r="B956" s="262"/>
      <c r="C956" s="262"/>
      <c r="D956" s="263"/>
      <c r="J956" s="136" t="str">
        <f>IF($F$36=0,"",1)</f>
        <v/>
      </c>
    </row>
    <row r="957" spans="1:10" ht="31.5" customHeight="1">
      <c r="A957" s="289" t="str">
        <f>'Анализ стоимости'!M$52</f>
        <v>Заместитель главы Вышестеблиевского сельского поселения Темрюкского района</v>
      </c>
      <c r="B957" s="290"/>
      <c r="C957" s="264"/>
      <c r="D957" s="265" t="str">
        <f>CONCATENATE("_____________________ ",'Анализ стоимости'!M$53)</f>
        <v>_____________________ Н.Д.Шевченко</v>
      </c>
      <c r="G957" s="267" t="str">
        <f>A957</f>
        <v>Заместитель главы Вышестеблиевского сельского поселения Темрюкского района</v>
      </c>
      <c r="J957" s="136" t="str">
        <f>IF($F$12=0,"",1)</f>
        <v/>
      </c>
    </row>
    <row r="958" spans="1:10" s="237" customFormat="1" ht="5.25">
      <c r="A958" s="269"/>
      <c r="B958" s="269"/>
      <c r="C958" s="269"/>
      <c r="D958" s="270"/>
      <c r="G958" s="238"/>
      <c r="H958" s="238"/>
      <c r="I958" s="273"/>
      <c r="J958" s="277" t="str">
        <f>IF($F$12=0,"",1)</f>
        <v/>
      </c>
    </row>
    <row r="959" spans="1:10">
      <c r="A959" s="291">
        <f ca="1">TODAY()</f>
        <v>41941</v>
      </c>
      <c r="B959" s="291"/>
      <c r="C959" s="224"/>
      <c r="D959" s="224"/>
      <c r="J959" s="136" t="str">
        <f>IF($F$36=0,"",1)</f>
        <v/>
      </c>
    </row>
    <row r="960" spans="1:10">
      <c r="A960" s="295" t="s">
        <v>232</v>
      </c>
      <c r="B960" s="295"/>
      <c r="C960" s="295"/>
      <c r="D960" s="295"/>
      <c r="G960" s="226"/>
      <c r="H960" s="226"/>
      <c r="J960" s="136" t="str">
        <f t="shared" ref="J960:J977" si="139">IF($F$37=0,"",1)</f>
        <v/>
      </c>
    </row>
    <row r="961" spans="1:10">
      <c r="A961" s="296" t="e">
        <f>CONCATENATE("Наименование объекта: ",VLOOKUP($F$37,'Анализ стоимости'!$A$4:$DK$59,11+2,0))</f>
        <v>#N/A</v>
      </c>
      <c r="B961" s="296"/>
      <c r="C961" s="296"/>
      <c r="D961" s="296"/>
      <c r="I961" s="276" t="e">
        <f>A961</f>
        <v>#N/A</v>
      </c>
      <c r="J961" s="136" t="str">
        <f t="shared" si="139"/>
        <v/>
      </c>
    </row>
    <row r="962" spans="1:10" s="237" customFormat="1" ht="5.25">
      <c r="A962" s="246"/>
      <c r="B962" s="235"/>
      <c r="C962" s="235"/>
      <c r="D962" s="235"/>
      <c r="G962" s="238"/>
      <c r="H962" s="238"/>
      <c r="I962" s="273"/>
      <c r="J962" s="277" t="str">
        <f t="shared" si="139"/>
        <v/>
      </c>
    </row>
    <row r="963" spans="1:10">
      <c r="A963" s="248" t="s">
        <v>149</v>
      </c>
      <c r="B963" s="241"/>
      <c r="C963" s="241"/>
      <c r="D963" s="241"/>
      <c r="J963" s="136" t="str">
        <f t="shared" si="139"/>
        <v/>
      </c>
    </row>
    <row r="964" spans="1:10">
      <c r="A964" s="297" t="s">
        <v>150</v>
      </c>
      <c r="B964" s="297"/>
      <c r="C964" s="297"/>
      <c r="D964" s="297"/>
      <c r="J964" s="136" t="str">
        <f t="shared" si="139"/>
        <v/>
      </c>
    </row>
    <row r="965" spans="1:10" ht="47.25" customHeight="1">
      <c r="A965" s="249" t="s">
        <v>53</v>
      </c>
      <c r="B965" s="249" t="s">
        <v>87</v>
      </c>
      <c r="C965" s="298" t="e">
        <f>CONCATENATE("Стоимость  согласно сметной документации (руб.) в текущих ценах по состоянию на ",VLOOKUP($F$37,'Анализ стоимости'!$A$4:$BY$59,6+2,0)," г.")</f>
        <v>#N/A</v>
      </c>
      <c r="D965" s="299"/>
      <c r="H965" s="250" t="e">
        <f>C965</f>
        <v>#N/A</v>
      </c>
      <c r="J965" s="136" t="str">
        <f t="shared" si="139"/>
        <v/>
      </c>
    </row>
    <row r="966" spans="1:10">
      <c r="A966" s="252">
        <v>1</v>
      </c>
      <c r="B966" s="253" t="s">
        <v>28</v>
      </c>
      <c r="C966" s="292" t="e">
        <f>VLOOKUP($F$37,'Анализ стоимости'!$A$4:$BY$59,12+2,0)</f>
        <v>#N/A</v>
      </c>
      <c r="D966" s="293"/>
      <c r="J966" s="136" t="str">
        <f t="shared" si="139"/>
        <v/>
      </c>
    </row>
    <row r="967" spans="1:10">
      <c r="A967" s="252">
        <v>2</v>
      </c>
      <c r="B967" s="253" t="s">
        <v>23</v>
      </c>
      <c r="C967" s="292" t="e">
        <f>VLOOKUP($F$37,'Анализ стоимости'!$A$4:$DK$59,13+2,0)</f>
        <v>#N/A</v>
      </c>
      <c r="D967" s="293"/>
      <c r="J967" s="136" t="str">
        <f t="shared" si="139"/>
        <v/>
      </c>
    </row>
    <row r="968" spans="1:10" ht="31.5">
      <c r="A968" s="252">
        <v>3</v>
      </c>
      <c r="B968" s="253" t="s">
        <v>2</v>
      </c>
      <c r="C968" s="292" t="e">
        <f>VLOOKUP($F$37,'Анализ стоимости'!$A$4:$DK$59,14+2,0)</f>
        <v>#N/A</v>
      </c>
      <c r="D968" s="293"/>
      <c r="J968" s="136" t="str">
        <f t="shared" si="139"/>
        <v/>
      </c>
    </row>
    <row r="969" spans="1:10">
      <c r="A969" s="252">
        <v>4</v>
      </c>
      <c r="B969" s="253" t="s">
        <v>24</v>
      </c>
      <c r="C969" s="292" t="e">
        <f>VLOOKUP($F$37,'Анализ стоимости'!$A$4:$DK$59,15+2,0)</f>
        <v>#N/A</v>
      </c>
      <c r="D969" s="293"/>
      <c r="J969" s="136" t="str">
        <f t="shared" si="139"/>
        <v/>
      </c>
    </row>
    <row r="970" spans="1:10">
      <c r="A970" s="252">
        <v>5</v>
      </c>
      <c r="B970" s="253" t="s">
        <v>5</v>
      </c>
      <c r="C970" s="292" t="e">
        <f>VLOOKUP($F$37,'Анализ стоимости'!$A$4:$DK$59,16+2,0)</f>
        <v>#N/A</v>
      </c>
      <c r="D970" s="293"/>
      <c r="J970" s="136" t="str">
        <f t="shared" si="139"/>
        <v/>
      </c>
    </row>
    <row r="971" spans="1:10">
      <c r="A971" s="252">
        <v>6</v>
      </c>
      <c r="B971" s="253" t="s">
        <v>10</v>
      </c>
      <c r="C971" s="292" t="e">
        <f>VLOOKUP($F$37,'Анализ стоимости'!$A$4:$DK$59,20+2,0)</f>
        <v>#N/A</v>
      </c>
      <c r="D971" s="293"/>
      <c r="J971" s="136" t="str">
        <f t="shared" si="139"/>
        <v/>
      </c>
    </row>
    <row r="972" spans="1:10">
      <c r="A972" s="252">
        <v>7</v>
      </c>
      <c r="B972" s="253" t="s">
        <v>79</v>
      </c>
      <c r="C972" s="292" t="e">
        <f>VLOOKUP($F$37,'Анализ стоимости'!$A$4:$DK$59,21+2,0)+VLOOKUP($F$37,'Анализ стоимости'!$A$4:$DK$59,23+2,0)+VLOOKUP($F$37,'Анализ стоимости'!$A$4:$DK$59,24+2,0)+VLOOKUP($F$37,'Анализ стоимости'!$A$4:$DK$59,25+2,0)+VLOOKUP($F$37,'Анализ стоимости'!$A$4:$DK$59,26+2,0)+VLOOKUP($F$37,'Анализ стоимости'!$A$4:$DK$59,27+2,0)+VLOOKUP($F$37,'Анализ стоимости'!$A$4:$DK$59,28+2,0)+VLOOKUP($F$37,'Анализ стоимости'!$A$4:$DK$59,29+2,0)</f>
        <v>#N/A</v>
      </c>
      <c r="D972" s="293"/>
      <c r="J972" s="136" t="str">
        <f t="shared" si="139"/>
        <v/>
      </c>
    </row>
    <row r="973" spans="1:10">
      <c r="A973" s="252">
        <v>8</v>
      </c>
      <c r="B973" s="253" t="s">
        <v>46</v>
      </c>
      <c r="C973" s="292" t="e">
        <f>VLOOKUP($F$37,'Анализ стоимости'!$A$4:$DK$59,34+2,0)</f>
        <v>#N/A</v>
      </c>
      <c r="D973" s="293"/>
      <c r="J973" s="136" t="str">
        <f t="shared" si="139"/>
        <v/>
      </c>
    </row>
    <row r="974" spans="1:10">
      <c r="A974" s="252">
        <v>9</v>
      </c>
      <c r="B974" s="253" t="s">
        <v>169</v>
      </c>
      <c r="C974" s="292" t="e">
        <f>SUM(C966:D973)</f>
        <v>#N/A</v>
      </c>
      <c r="D974" s="293"/>
      <c r="J974" s="136" t="str">
        <f t="shared" si="139"/>
        <v/>
      </c>
    </row>
    <row r="975" spans="1:10">
      <c r="A975" s="294" t="s">
        <v>161</v>
      </c>
      <c r="B975" s="294"/>
      <c r="C975" s="294"/>
      <c r="D975" s="294"/>
      <c r="J975" s="136" t="str">
        <f t="shared" si="139"/>
        <v/>
      </c>
    </row>
    <row r="976" spans="1:10" ht="31.5">
      <c r="A976" s="255" t="s">
        <v>53</v>
      </c>
      <c r="B976" s="249" t="s">
        <v>15</v>
      </c>
      <c r="C976" s="249" t="s">
        <v>152</v>
      </c>
      <c r="D976" s="249" t="s">
        <v>88</v>
      </c>
      <c r="J976" s="136" t="str">
        <f t="shared" si="139"/>
        <v/>
      </c>
    </row>
    <row r="977" spans="1:10">
      <c r="A977" s="252">
        <v>10</v>
      </c>
      <c r="B977" s="252" t="e">
        <f>VLOOKUP((VLOOKUP($F$37,'Анализ стоимости'!$A$4:$BY$59,12,0)),'Расчет инфляции'!$BD$5:$BE$22,2,0)</f>
        <v>#N/A</v>
      </c>
      <c r="C977" s="252"/>
      <c r="D977" s="253"/>
      <c r="J977" s="136" t="str">
        <f t="shared" si="139"/>
        <v/>
      </c>
    </row>
    <row r="978" spans="1:10">
      <c r="A978" s="252" t="e">
        <f>IF(D978=0,0,A977+1)</f>
        <v>#N/A</v>
      </c>
      <c r="B978" s="253" t="e">
        <f>CONCATENATE("2014 г. (",CHOOSE(VLOOKUP(F$37,'Анализ стоимости'!$A$4:$DK$90,68,0),"Январь","Февраль","Март","Апрель","Май","Июнь","Июль","Август","Сентябрь","Октябрь","Ноябрь","Декабрь")," - ",CHOOSE(VLOOKUP(F$37,'Анализ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978" s="252" t="s">
        <v>153</v>
      </c>
      <c r="D978" s="278" t="e">
        <f>IF(D980=0,0,VLOOKUP($F$37,'Анализ стоимости'!$A$4:$DK$59,74,0)*100+100)</f>
        <v>#N/A</v>
      </c>
      <c r="J978" s="136" t="e">
        <f>IF(D978=0,"",1)</f>
        <v>#N/A</v>
      </c>
    </row>
    <row r="979" spans="1:10">
      <c r="A979" s="252" t="e">
        <f>IF(D979=0,0,IF(D978=0,A977+1,A978+1))</f>
        <v>#N/A</v>
      </c>
      <c r="B979" s="253" t="e">
        <f>CONCATENATE("2015 г. (",CHOOSE(VLOOKUP(F$37,'Анализ стоимости'!$A$4:$DK$90,70,0),"Январь","Февраль","Март","Апрель","Май","Июнь","Июль","Август","Сентябрь","Октябрь","Ноябрь","Декабрь")," - ",CHOOSE(VLOOKUP(F$37,'Анализ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979" s="252" t="s">
        <v>153</v>
      </c>
      <c r="D979" s="278" t="e">
        <f>IF(D981=0,0,VLOOKUP($F$37,'Анализ стоимости'!$A$4:$DK$59,75,0)*100+100)</f>
        <v>#N/A</v>
      </c>
      <c r="J979" s="136" t="e">
        <f t="shared" ref="J979:J980" si="140">IF(D979=0,"",1)</f>
        <v>#N/A</v>
      </c>
    </row>
    <row r="980" spans="1:10">
      <c r="A980" s="252" t="e">
        <f>IF(D980=0,0,IF(D979=0,A978+1,A979+1))</f>
        <v>#N/A</v>
      </c>
      <c r="B980" s="253" t="s">
        <v>154</v>
      </c>
      <c r="C980" s="252" t="s">
        <v>156</v>
      </c>
      <c r="D980" s="257" t="e">
        <f>VLOOKUP($F$37,'Анализ стоимости'!$A$4:$DK$59,51,0)</f>
        <v>#N/A</v>
      </c>
      <c r="J980" s="136" t="e">
        <f t="shared" si="140"/>
        <v>#N/A</v>
      </c>
    </row>
    <row r="981" spans="1:10">
      <c r="A981" s="252" t="e">
        <f>IF(D981=0,0,IF(D980=0,A979+1,A980+1))</f>
        <v>#N/A</v>
      </c>
      <c r="B981" s="253" t="s">
        <v>155</v>
      </c>
      <c r="C981" s="252" t="s">
        <v>156</v>
      </c>
      <c r="D981" s="257" t="e">
        <f>VLOOKUP($F$37,'Анализ стоимости'!$A$4:$DK$59,61,0)</f>
        <v>#N/A</v>
      </c>
      <c r="J981" s="136" t="e">
        <f>IF(D981=0,"",1)</f>
        <v>#N/A</v>
      </c>
    </row>
    <row r="982" spans="1:10">
      <c r="A982" s="294" t="s">
        <v>157</v>
      </c>
      <c r="B982" s="294"/>
      <c r="C982" s="294"/>
      <c r="D982" s="294"/>
      <c r="J982" s="136" t="str">
        <f>IF($F$37=0,"",1)</f>
        <v/>
      </c>
    </row>
    <row r="983" spans="1:10" ht="31.5">
      <c r="A983" s="252" t="e">
        <f>IF(D983=0,0,IF(D981=0,IF(D980=0,A977+1,A980+1),A981+1))</f>
        <v>#N/A</v>
      </c>
      <c r="B983" s="258" t="s">
        <v>206</v>
      </c>
      <c r="C983" s="252" t="s">
        <v>156</v>
      </c>
      <c r="D983" s="257" t="e">
        <f>SUM(VLOOKUP($F$37,'Анализ стоимости'!$A$4:$DK$59,46,0),D980)</f>
        <v>#N/A</v>
      </c>
      <c r="E983" s="136"/>
      <c r="J983" s="136" t="e">
        <f t="shared" ref="J983:J989" si="141">IF(D983=0,"",1)</f>
        <v>#N/A</v>
      </c>
    </row>
    <row r="984" spans="1:10">
      <c r="A984" s="252" t="e">
        <f>IF(D984=0,0,A983+1)</f>
        <v>#N/A</v>
      </c>
      <c r="B984" s="258" t="s">
        <v>159</v>
      </c>
      <c r="C984" s="252" t="s">
        <v>156</v>
      </c>
      <c r="D984" s="257" t="e">
        <f>VLOOKUP($F$37,'Анализ стоимости'!$A$4:$DK$59,56,0)</f>
        <v>#N/A</v>
      </c>
      <c r="E984" s="136"/>
      <c r="J984" s="136" t="e">
        <f t="shared" si="141"/>
        <v>#N/A</v>
      </c>
    </row>
    <row r="985" spans="1:10">
      <c r="A985" s="252" t="e">
        <f>IF(D985=0,0,A984+1)</f>
        <v>#N/A</v>
      </c>
      <c r="B985" s="258" t="s">
        <v>205</v>
      </c>
      <c r="C985" s="252" t="s">
        <v>156</v>
      </c>
      <c r="D985" s="257" t="e">
        <f>SUM(D983:D984)</f>
        <v>#N/A</v>
      </c>
      <c r="E985" s="254" t="e">
        <f>VLOOKUP($F$37,'Анализ стоимости'!$A$4:$DK$59,76,0)</f>
        <v>#N/A</v>
      </c>
      <c r="J985" s="136" t="e">
        <f t="shared" si="141"/>
        <v>#N/A</v>
      </c>
    </row>
    <row r="986" spans="1:10" ht="31.5">
      <c r="A986" s="252" t="e">
        <f>IF(D986=0,0,IF(D985=0,IF(D981=0,A977+1,A981+1),A985+1))</f>
        <v>#N/A</v>
      </c>
      <c r="B986" s="258" t="s">
        <v>204</v>
      </c>
      <c r="C986" s="252" t="s">
        <v>156</v>
      </c>
      <c r="D986" s="257" t="e">
        <f>VLOOKUP($F$37,'Анализ стоимости'!$A$4:$DK$59,41,0)-VLOOKUP($F$37,'Анализ стоимости'!$A$4:$DK$59,46,0)+D981</f>
        <v>#N/A</v>
      </c>
      <c r="J986" s="136" t="e">
        <f t="shared" si="141"/>
        <v>#N/A</v>
      </c>
    </row>
    <row r="987" spans="1:10">
      <c r="A987" s="252" t="e">
        <f>IF(D987=0,0,A986+1)</f>
        <v>#N/A</v>
      </c>
      <c r="B987" s="258" t="s">
        <v>159</v>
      </c>
      <c r="C987" s="252" t="s">
        <v>156</v>
      </c>
      <c r="D987" s="257" t="e">
        <f>VLOOKUP($F$37,'Анализ стоимости'!$A$4:$DK$59,66,0)</f>
        <v>#N/A</v>
      </c>
      <c r="J987" s="136" t="e">
        <f t="shared" si="141"/>
        <v>#N/A</v>
      </c>
    </row>
    <row r="988" spans="1:10">
      <c r="A988" s="252" t="e">
        <f>IF(D988=0,0,A987+1)</f>
        <v>#N/A</v>
      </c>
      <c r="B988" s="258" t="s">
        <v>203</v>
      </c>
      <c r="C988" s="252" t="s">
        <v>156</v>
      </c>
      <c r="D988" s="257" t="e">
        <f>SUM(D986:D987)</f>
        <v>#N/A</v>
      </c>
      <c r="E988" s="254" t="e">
        <f>VLOOKUP($F$37,'Анализ стоимости'!$A$4:$DK$59,77,0)</f>
        <v>#N/A</v>
      </c>
      <c r="J988" s="136" t="e">
        <f t="shared" si="141"/>
        <v>#N/A</v>
      </c>
    </row>
    <row r="989" spans="1:10">
      <c r="A989" s="252" t="e">
        <f>IF(D989=0,0,A988+1)</f>
        <v>#N/A</v>
      </c>
      <c r="B989" s="258" t="s">
        <v>158</v>
      </c>
      <c r="C989" s="252" t="s">
        <v>156</v>
      </c>
      <c r="D989" s="257" t="e">
        <f>IF(OR(D985=0,D988=0),0,D988+D985)</f>
        <v>#N/A</v>
      </c>
      <c r="E989" s="254" t="e">
        <f>VLOOKUP($F$37,'Анализ стоимости'!$A$4:$DK$59,67,0)</f>
        <v>#N/A</v>
      </c>
      <c r="J989" s="136" t="e">
        <f t="shared" si="141"/>
        <v>#N/A</v>
      </c>
    </row>
    <row r="990" spans="1:10">
      <c r="A990" s="262"/>
      <c r="B990" s="262"/>
      <c r="C990" s="262"/>
      <c r="D990" s="263"/>
      <c r="J990" s="136" t="str">
        <f>IF($F$37=0,"",1)</f>
        <v/>
      </c>
    </row>
    <row r="991" spans="1:10" ht="31.5" customHeight="1">
      <c r="A991" s="289" t="str">
        <f>'Анализ стоимости'!M$52</f>
        <v>Заместитель главы Вышестеблиевского сельского поселения Темрюкского района</v>
      </c>
      <c r="B991" s="290"/>
      <c r="C991" s="264"/>
      <c r="D991" s="265" t="str">
        <f>CONCATENATE("_____________________ ",'Анализ стоимости'!M$53)</f>
        <v>_____________________ Н.Д.Шевченко</v>
      </c>
      <c r="G991" s="267" t="str">
        <f>A991</f>
        <v>Заместитель главы Вышестеблиевского сельского поселения Темрюкского района</v>
      </c>
      <c r="J991" s="136" t="str">
        <f>IF($F$12=0,"",1)</f>
        <v/>
      </c>
    </row>
    <row r="992" spans="1:10" s="237" customFormat="1" ht="5.25">
      <c r="A992" s="269"/>
      <c r="B992" s="269"/>
      <c r="C992" s="269"/>
      <c r="D992" s="270"/>
      <c r="G992" s="238"/>
      <c r="H992" s="238"/>
      <c r="I992" s="273"/>
      <c r="J992" s="277" t="str">
        <f>IF($F$12=0,"",1)</f>
        <v/>
      </c>
    </row>
    <row r="993" spans="1:10">
      <c r="A993" s="291">
        <f ca="1">TODAY()</f>
        <v>41941</v>
      </c>
      <c r="B993" s="291"/>
      <c r="C993" s="224"/>
      <c r="D993" s="224"/>
      <c r="J993" s="136" t="str">
        <f>IF($F$37=0,"",1)</f>
        <v/>
      </c>
    </row>
    <row r="994" spans="1:10">
      <c r="A994" s="295" t="s">
        <v>233</v>
      </c>
      <c r="B994" s="295"/>
      <c r="C994" s="295"/>
      <c r="D994" s="295"/>
      <c r="G994" s="226"/>
      <c r="H994" s="226"/>
      <c r="J994" s="136" t="str">
        <f t="shared" ref="J994:J1011" si="142">IF($F$38=0,"",1)</f>
        <v/>
      </c>
    </row>
    <row r="995" spans="1:10">
      <c r="A995" s="296" t="e">
        <f>CONCATENATE("Наименование объекта: ",VLOOKUP($F$38,'Анализ стоимости'!$A$4:$DK$59,11+2,0))</f>
        <v>#N/A</v>
      </c>
      <c r="B995" s="296"/>
      <c r="C995" s="296"/>
      <c r="D995" s="296"/>
      <c r="I995" s="276" t="e">
        <f>A995</f>
        <v>#N/A</v>
      </c>
      <c r="J995" s="136" t="str">
        <f t="shared" si="142"/>
        <v/>
      </c>
    </row>
    <row r="996" spans="1:10" s="237" customFormat="1" ht="5.25">
      <c r="A996" s="246"/>
      <c r="B996" s="235"/>
      <c r="C996" s="235"/>
      <c r="D996" s="235"/>
      <c r="G996" s="238"/>
      <c r="H996" s="238"/>
      <c r="I996" s="273"/>
      <c r="J996" s="277" t="str">
        <f t="shared" si="142"/>
        <v/>
      </c>
    </row>
    <row r="997" spans="1:10">
      <c r="A997" s="248" t="s">
        <v>149</v>
      </c>
      <c r="B997" s="241"/>
      <c r="C997" s="241"/>
      <c r="D997" s="241"/>
      <c r="J997" s="136" t="str">
        <f t="shared" si="142"/>
        <v/>
      </c>
    </row>
    <row r="998" spans="1:10">
      <c r="A998" s="297" t="s">
        <v>150</v>
      </c>
      <c r="B998" s="297"/>
      <c r="C998" s="297"/>
      <c r="D998" s="297"/>
      <c r="J998" s="136" t="str">
        <f t="shared" si="142"/>
        <v/>
      </c>
    </row>
    <row r="999" spans="1:10" ht="47.25" customHeight="1">
      <c r="A999" s="249" t="s">
        <v>53</v>
      </c>
      <c r="B999" s="249" t="s">
        <v>87</v>
      </c>
      <c r="C999" s="298" t="e">
        <f>CONCATENATE("Стоимость  согласно сметной документации (руб.) в текущих ценах по состоянию на ",VLOOKUP($F$38,'Анализ стоимости'!$A$4:$BY$59,6+2,0)," г.")</f>
        <v>#N/A</v>
      </c>
      <c r="D999" s="299"/>
      <c r="H999" s="250" t="e">
        <f>C999</f>
        <v>#N/A</v>
      </c>
      <c r="J999" s="136" t="str">
        <f t="shared" si="142"/>
        <v/>
      </c>
    </row>
    <row r="1000" spans="1:10">
      <c r="A1000" s="252">
        <v>1</v>
      </c>
      <c r="B1000" s="253" t="s">
        <v>28</v>
      </c>
      <c r="C1000" s="292" t="e">
        <f>VLOOKUP($F$38,'Анализ стоимости'!$A$4:$BY$59,12+2,0)</f>
        <v>#N/A</v>
      </c>
      <c r="D1000" s="293"/>
      <c r="J1000" s="136" t="str">
        <f t="shared" si="142"/>
        <v/>
      </c>
    </row>
    <row r="1001" spans="1:10">
      <c r="A1001" s="252">
        <v>2</v>
      </c>
      <c r="B1001" s="253" t="s">
        <v>23</v>
      </c>
      <c r="C1001" s="292" t="e">
        <f>VLOOKUP($F$38,'Анализ стоимости'!$A$4:$DK$59,13+2,0)</f>
        <v>#N/A</v>
      </c>
      <c r="D1001" s="293"/>
      <c r="J1001" s="136" t="str">
        <f t="shared" si="142"/>
        <v/>
      </c>
    </row>
    <row r="1002" spans="1:10" ht="31.5">
      <c r="A1002" s="252">
        <v>3</v>
      </c>
      <c r="B1002" s="253" t="s">
        <v>2</v>
      </c>
      <c r="C1002" s="292" t="e">
        <f>VLOOKUP($F$38,'Анализ стоимости'!$A$4:$DK$59,14+2,0)</f>
        <v>#N/A</v>
      </c>
      <c r="D1002" s="293"/>
      <c r="J1002" s="136" t="str">
        <f t="shared" si="142"/>
        <v/>
      </c>
    </row>
    <row r="1003" spans="1:10">
      <c r="A1003" s="252">
        <v>4</v>
      </c>
      <c r="B1003" s="253" t="s">
        <v>24</v>
      </c>
      <c r="C1003" s="292" t="e">
        <f>VLOOKUP($F$38,'Анализ стоимости'!$A$4:$DK$59,15+2,0)</f>
        <v>#N/A</v>
      </c>
      <c r="D1003" s="293"/>
      <c r="J1003" s="136" t="str">
        <f t="shared" si="142"/>
        <v/>
      </c>
    </row>
    <row r="1004" spans="1:10">
      <c r="A1004" s="252">
        <v>5</v>
      </c>
      <c r="B1004" s="253" t="s">
        <v>5</v>
      </c>
      <c r="C1004" s="292" t="e">
        <f>VLOOKUP($F$38,'Анализ стоимости'!$A$4:$DK$59,16+2,0)</f>
        <v>#N/A</v>
      </c>
      <c r="D1004" s="293"/>
      <c r="J1004" s="136" t="str">
        <f t="shared" si="142"/>
        <v/>
      </c>
    </row>
    <row r="1005" spans="1:10">
      <c r="A1005" s="252">
        <v>6</v>
      </c>
      <c r="B1005" s="253" t="s">
        <v>10</v>
      </c>
      <c r="C1005" s="292" t="e">
        <f>VLOOKUP($F$38,'Анализ стоимости'!$A$4:$DK$59,20+2,0)</f>
        <v>#N/A</v>
      </c>
      <c r="D1005" s="293"/>
      <c r="J1005" s="136" t="str">
        <f t="shared" si="142"/>
        <v/>
      </c>
    </row>
    <row r="1006" spans="1:10">
      <c r="A1006" s="252">
        <v>7</v>
      </c>
      <c r="B1006" s="253" t="s">
        <v>79</v>
      </c>
      <c r="C1006" s="292" t="e">
        <f>VLOOKUP($F$38,'Анализ стоимости'!$A$4:$DK$59,21+2,0)+VLOOKUP($F$38,'Анализ стоимости'!$A$4:$DK$59,23+2,0)+VLOOKUP($F$38,'Анализ стоимости'!$A$4:$DK$59,24+2,0)+VLOOKUP($F$38,'Анализ стоимости'!$A$4:$DK$59,25+2,0)+VLOOKUP($F$38,'Анализ стоимости'!$A$4:$DK$59,26+2,0)+VLOOKUP($F$38,'Анализ стоимости'!$A$4:$DK$59,27+2,0)+VLOOKUP($F$38,'Анализ стоимости'!$A$4:$DK$59,28+2,0)+VLOOKUP($F$38,'Анализ стоимости'!$A$4:$DK$59,29+2,0)</f>
        <v>#N/A</v>
      </c>
      <c r="D1006" s="293"/>
      <c r="J1006" s="136" t="str">
        <f t="shared" si="142"/>
        <v/>
      </c>
    </row>
    <row r="1007" spans="1:10">
      <c r="A1007" s="252">
        <v>8</v>
      </c>
      <c r="B1007" s="253" t="s">
        <v>46</v>
      </c>
      <c r="C1007" s="292" t="e">
        <f>VLOOKUP($F$38,'Анализ стоимости'!$A$4:$DK$59,34+2,0)</f>
        <v>#N/A</v>
      </c>
      <c r="D1007" s="293"/>
      <c r="J1007" s="136" t="str">
        <f t="shared" si="142"/>
        <v/>
      </c>
    </row>
    <row r="1008" spans="1:10">
      <c r="A1008" s="252">
        <v>9</v>
      </c>
      <c r="B1008" s="253" t="s">
        <v>169</v>
      </c>
      <c r="C1008" s="292" t="e">
        <f>SUM(C1000:D1007)</f>
        <v>#N/A</v>
      </c>
      <c r="D1008" s="293"/>
      <c r="J1008" s="136" t="str">
        <f t="shared" si="142"/>
        <v/>
      </c>
    </row>
    <row r="1009" spans="1:10">
      <c r="A1009" s="294" t="s">
        <v>161</v>
      </c>
      <c r="B1009" s="294"/>
      <c r="C1009" s="294"/>
      <c r="D1009" s="294"/>
      <c r="J1009" s="136" t="str">
        <f t="shared" si="142"/>
        <v/>
      </c>
    </row>
    <row r="1010" spans="1:10" ht="31.5">
      <c r="A1010" s="255" t="s">
        <v>53</v>
      </c>
      <c r="B1010" s="249" t="s">
        <v>15</v>
      </c>
      <c r="C1010" s="249" t="s">
        <v>152</v>
      </c>
      <c r="D1010" s="249" t="s">
        <v>88</v>
      </c>
      <c r="J1010" s="136" t="str">
        <f t="shared" si="142"/>
        <v/>
      </c>
    </row>
    <row r="1011" spans="1:10">
      <c r="A1011" s="252">
        <v>10</v>
      </c>
      <c r="B1011" s="252" t="e">
        <f>VLOOKUP((VLOOKUP($F$38,'Анализ стоимости'!$A$4:$BY$59,12,0)),'Расчет инфляции'!$BD$5:$BE$22,2,0)</f>
        <v>#N/A</v>
      </c>
      <c r="C1011" s="252"/>
      <c r="D1011" s="253"/>
      <c r="J1011" s="136" t="str">
        <f t="shared" si="142"/>
        <v/>
      </c>
    </row>
    <row r="1012" spans="1:10">
      <c r="A1012" s="252" t="e">
        <f>IF(D1012=0,0,A1011+1)</f>
        <v>#N/A</v>
      </c>
      <c r="B1012" s="253" t="e">
        <f>CONCATENATE("2014 г. (",CHOOSE(VLOOKUP(F$38,'Анализ стоимости'!$A$4:$DK$90,68,0),"Январь","Февраль","Март","Апрель","Май","Июнь","Июль","Август","Сентябрь","Октябрь","Ноябрь","Декабрь")," - ",CHOOSE(VLOOKUP(F$38,'Анализ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012" s="252" t="s">
        <v>153</v>
      </c>
      <c r="D1012" s="278" t="e">
        <f>IF(D1014=0,0,VLOOKUP($F$38,'Анализ стоимости'!$A$4:$DK$59,74,0)*100+100)</f>
        <v>#N/A</v>
      </c>
      <c r="J1012" s="136" t="e">
        <f>IF(D1012=0,"",1)</f>
        <v>#N/A</v>
      </c>
    </row>
    <row r="1013" spans="1:10">
      <c r="A1013" s="252" t="e">
        <f>IF(D1013=0,0,IF(D1012=0,A1011+1,A1012+1))</f>
        <v>#N/A</v>
      </c>
      <c r="B1013" s="253" t="e">
        <f>CONCATENATE("2015 г. (",CHOOSE(VLOOKUP(F$38,'Анализ стоимости'!$A$4:$DK$90,70,0),"Январь","Февраль","Март","Апрель","Май","Июнь","Июль","Август","Сентябрь","Октябрь","Ноябрь","Декабрь")," - ",CHOOSE(VLOOKUP(F$38,'Анализ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013" s="252" t="s">
        <v>153</v>
      </c>
      <c r="D1013" s="278" t="e">
        <f>IF(D1015=0,0,VLOOKUP($F$38,'Анализ стоимости'!$A$4:$DK$59,75,0)*100+100)</f>
        <v>#N/A</v>
      </c>
      <c r="J1013" s="136" t="e">
        <f t="shared" ref="J1013:J1014" si="143">IF(D1013=0,"",1)</f>
        <v>#N/A</v>
      </c>
    </row>
    <row r="1014" spans="1:10">
      <c r="A1014" s="252" t="e">
        <f>IF(D1014=0,0,IF(D1013=0,A1012+1,A1013+1))</f>
        <v>#N/A</v>
      </c>
      <c r="B1014" s="253" t="s">
        <v>154</v>
      </c>
      <c r="C1014" s="252" t="s">
        <v>156</v>
      </c>
      <c r="D1014" s="257" t="e">
        <f>VLOOKUP($F$38,'Анализ стоимости'!$A$4:$DK$59,51,0)</f>
        <v>#N/A</v>
      </c>
      <c r="J1014" s="136" t="e">
        <f t="shared" si="143"/>
        <v>#N/A</v>
      </c>
    </row>
    <row r="1015" spans="1:10">
      <c r="A1015" s="252" t="e">
        <f>IF(D1015=0,0,IF(D1014=0,A1013+1,A1014+1))</f>
        <v>#N/A</v>
      </c>
      <c r="B1015" s="253" t="s">
        <v>155</v>
      </c>
      <c r="C1015" s="252" t="s">
        <v>156</v>
      </c>
      <c r="D1015" s="257" t="e">
        <f>VLOOKUP($F$38,'Анализ стоимости'!$A$4:$DK$59,61,0)</f>
        <v>#N/A</v>
      </c>
      <c r="J1015" s="136" t="e">
        <f>IF(D1015=0,"",1)</f>
        <v>#N/A</v>
      </c>
    </row>
    <row r="1016" spans="1:10">
      <c r="A1016" s="294" t="s">
        <v>157</v>
      </c>
      <c r="B1016" s="294"/>
      <c r="C1016" s="294"/>
      <c r="D1016" s="294"/>
      <c r="J1016" s="136" t="str">
        <f>IF($F$38=0,"",1)</f>
        <v/>
      </c>
    </row>
    <row r="1017" spans="1:10" ht="31.5">
      <c r="A1017" s="252" t="e">
        <f>IF(D1017=0,0,IF(D1015=0,IF(D1014=0,A1011+1,A1014+1),A1015+1))</f>
        <v>#N/A</v>
      </c>
      <c r="B1017" s="258" t="s">
        <v>206</v>
      </c>
      <c r="C1017" s="252" t="s">
        <v>156</v>
      </c>
      <c r="D1017" s="257" t="e">
        <f>SUM(VLOOKUP($F$38,'Анализ стоимости'!$A$4:$DK$59,46,0),D1014)</f>
        <v>#N/A</v>
      </c>
      <c r="E1017" s="136"/>
      <c r="J1017" s="136" t="e">
        <f t="shared" ref="J1017:J1023" si="144">IF(D1017=0,"",1)</f>
        <v>#N/A</v>
      </c>
    </row>
    <row r="1018" spans="1:10">
      <c r="A1018" s="252" t="e">
        <f>IF(D1018=0,0,A1017+1)</f>
        <v>#N/A</v>
      </c>
      <c r="B1018" s="258" t="s">
        <v>159</v>
      </c>
      <c r="C1018" s="252" t="s">
        <v>156</v>
      </c>
      <c r="D1018" s="257" t="e">
        <f>VLOOKUP($F$38,'Анализ стоимости'!$A$4:$DK$59,56,0)</f>
        <v>#N/A</v>
      </c>
      <c r="E1018" s="136"/>
      <c r="J1018" s="136" t="e">
        <f t="shared" si="144"/>
        <v>#N/A</v>
      </c>
    </row>
    <row r="1019" spans="1:10">
      <c r="A1019" s="252" t="e">
        <f>IF(D1019=0,0,A1018+1)</f>
        <v>#N/A</v>
      </c>
      <c r="B1019" s="258" t="s">
        <v>205</v>
      </c>
      <c r="C1019" s="252" t="s">
        <v>156</v>
      </c>
      <c r="D1019" s="257" t="e">
        <f>SUM(D1017:D1018)</f>
        <v>#N/A</v>
      </c>
      <c r="E1019" s="254" t="e">
        <f>VLOOKUP($F$38,'Анализ стоимости'!$A$4:$DK$59,76,0)</f>
        <v>#N/A</v>
      </c>
      <c r="J1019" s="136" t="e">
        <f t="shared" si="144"/>
        <v>#N/A</v>
      </c>
    </row>
    <row r="1020" spans="1:10" ht="31.5">
      <c r="A1020" s="252" t="e">
        <f>IF(D1020=0,0,IF(D1019=0,IF(D1015=0,A1011+1,A1015+1),A1019+1))</f>
        <v>#N/A</v>
      </c>
      <c r="B1020" s="258" t="s">
        <v>204</v>
      </c>
      <c r="C1020" s="252" t="s">
        <v>156</v>
      </c>
      <c r="D1020" s="257" t="e">
        <f>VLOOKUP($F$38,'Анализ стоимости'!$A$4:$DK$59,41,0)-VLOOKUP($F$38,'Анализ стоимости'!$A$4:$DK$59,46,0)+D1015</f>
        <v>#N/A</v>
      </c>
      <c r="J1020" s="136" t="e">
        <f t="shared" si="144"/>
        <v>#N/A</v>
      </c>
    </row>
    <row r="1021" spans="1:10">
      <c r="A1021" s="252" t="e">
        <f>IF(D1021=0,0,A1020+1)</f>
        <v>#N/A</v>
      </c>
      <c r="B1021" s="258" t="s">
        <v>159</v>
      </c>
      <c r="C1021" s="252" t="s">
        <v>156</v>
      </c>
      <c r="D1021" s="257" t="e">
        <f>VLOOKUP($F$38,'Анализ стоимости'!$A$4:$DK$59,66,0)</f>
        <v>#N/A</v>
      </c>
      <c r="J1021" s="136" t="e">
        <f t="shared" si="144"/>
        <v>#N/A</v>
      </c>
    </row>
    <row r="1022" spans="1:10">
      <c r="A1022" s="252" t="e">
        <f>IF(D1022=0,0,A1021+1)</f>
        <v>#N/A</v>
      </c>
      <c r="B1022" s="258" t="s">
        <v>203</v>
      </c>
      <c r="C1022" s="252" t="s">
        <v>156</v>
      </c>
      <c r="D1022" s="257" t="e">
        <f>SUM(D1020:D1021)</f>
        <v>#N/A</v>
      </c>
      <c r="E1022" s="254" t="e">
        <f>VLOOKUP($F$38,'Анализ стоимости'!$A$4:$DK$59,77,0)</f>
        <v>#N/A</v>
      </c>
      <c r="J1022" s="136" t="e">
        <f t="shared" si="144"/>
        <v>#N/A</v>
      </c>
    </row>
    <row r="1023" spans="1:10">
      <c r="A1023" s="252" t="e">
        <f>IF(D1023=0,0,A1022+1)</f>
        <v>#N/A</v>
      </c>
      <c r="B1023" s="258" t="s">
        <v>158</v>
      </c>
      <c r="C1023" s="252" t="s">
        <v>156</v>
      </c>
      <c r="D1023" s="257" t="e">
        <f>IF(OR(D1019=0,D1022=0),0,D1022+D1019)</f>
        <v>#N/A</v>
      </c>
      <c r="E1023" s="254" t="e">
        <f>VLOOKUP($F$38,'Анализ стоимости'!$A$4:$DK$59,67,0)</f>
        <v>#N/A</v>
      </c>
      <c r="J1023" s="136" t="e">
        <f t="shared" si="144"/>
        <v>#N/A</v>
      </c>
    </row>
    <row r="1024" spans="1:10">
      <c r="A1024" s="262"/>
      <c r="B1024" s="262"/>
      <c r="C1024" s="262"/>
      <c r="D1024" s="263"/>
      <c r="J1024" s="136" t="str">
        <f>IF($F$38=0,"",1)</f>
        <v/>
      </c>
    </row>
    <row r="1025" spans="1:10" ht="31.5" customHeight="1">
      <c r="A1025" s="289" t="str">
        <f>'Анализ стоимости'!M$52</f>
        <v>Заместитель главы Вышестеблиевского сельского поселения Темрюкского района</v>
      </c>
      <c r="B1025" s="290"/>
      <c r="C1025" s="264"/>
      <c r="D1025" s="265" t="str">
        <f>CONCATENATE("_____________________ ",'Анализ стоимости'!M$53)</f>
        <v>_____________________ Н.Д.Шевченко</v>
      </c>
      <c r="G1025" s="267" t="str">
        <f>A1025</f>
        <v>Заместитель главы Вышестеблиевского сельского поселения Темрюкского района</v>
      </c>
      <c r="J1025" s="136" t="str">
        <f>IF($F$12=0,"",1)</f>
        <v/>
      </c>
    </row>
    <row r="1026" spans="1:10" s="237" customFormat="1" ht="5.25">
      <c r="A1026" s="269"/>
      <c r="B1026" s="269"/>
      <c r="C1026" s="269"/>
      <c r="D1026" s="270"/>
      <c r="G1026" s="238"/>
      <c r="H1026" s="238"/>
      <c r="I1026" s="273"/>
      <c r="J1026" s="277" t="str">
        <f>IF($F$12=0,"",1)</f>
        <v/>
      </c>
    </row>
    <row r="1027" spans="1:10">
      <c r="A1027" s="291">
        <f ca="1">TODAY()</f>
        <v>41941</v>
      </c>
      <c r="B1027" s="291"/>
      <c r="C1027" s="224"/>
      <c r="D1027" s="224"/>
      <c r="J1027" s="136" t="str">
        <f>IF($F$38=0,"",1)</f>
        <v/>
      </c>
    </row>
    <row r="1028" spans="1:10">
      <c r="A1028" s="295" t="s">
        <v>234</v>
      </c>
      <c r="B1028" s="295"/>
      <c r="C1028" s="295"/>
      <c r="D1028" s="295"/>
      <c r="G1028" s="226"/>
      <c r="H1028" s="226"/>
      <c r="J1028" s="136" t="str">
        <f t="shared" ref="J1028:J1045" si="145">IF($F$39=0,"",1)</f>
        <v/>
      </c>
    </row>
    <row r="1029" spans="1:10">
      <c r="A1029" s="296" t="e">
        <f>CONCATENATE("Наименование объекта: ",VLOOKUP($F$39,'Анализ стоимости'!$A$4:$DK$59,11+2,0))</f>
        <v>#N/A</v>
      </c>
      <c r="B1029" s="296"/>
      <c r="C1029" s="296"/>
      <c r="D1029" s="296"/>
      <c r="I1029" s="276" t="e">
        <f>A1029</f>
        <v>#N/A</v>
      </c>
      <c r="J1029" s="136" t="str">
        <f t="shared" si="145"/>
        <v/>
      </c>
    </row>
    <row r="1030" spans="1:10" s="237" customFormat="1" ht="5.25">
      <c r="A1030" s="246"/>
      <c r="B1030" s="235"/>
      <c r="C1030" s="235"/>
      <c r="D1030" s="235"/>
      <c r="G1030" s="238"/>
      <c r="H1030" s="238"/>
      <c r="I1030" s="273"/>
      <c r="J1030" s="277" t="str">
        <f t="shared" si="145"/>
        <v/>
      </c>
    </row>
    <row r="1031" spans="1:10">
      <c r="A1031" s="248" t="s">
        <v>149</v>
      </c>
      <c r="B1031" s="241"/>
      <c r="C1031" s="241"/>
      <c r="D1031" s="241"/>
      <c r="J1031" s="136" t="str">
        <f t="shared" si="145"/>
        <v/>
      </c>
    </row>
    <row r="1032" spans="1:10">
      <c r="A1032" s="297" t="s">
        <v>150</v>
      </c>
      <c r="B1032" s="297"/>
      <c r="C1032" s="297"/>
      <c r="D1032" s="297"/>
      <c r="J1032" s="136" t="str">
        <f t="shared" si="145"/>
        <v/>
      </c>
    </row>
    <row r="1033" spans="1:10" ht="47.25" customHeight="1">
      <c r="A1033" s="249" t="s">
        <v>53</v>
      </c>
      <c r="B1033" s="249" t="s">
        <v>87</v>
      </c>
      <c r="C1033" s="298" t="e">
        <f>CONCATENATE("Стоимость  согласно сметной документации (руб.) в текущих ценах по состоянию на ",VLOOKUP($F$39,'Анализ стоимости'!$A$4:$BY$59,6+2,0)," г.")</f>
        <v>#N/A</v>
      </c>
      <c r="D1033" s="299"/>
      <c r="H1033" s="250" t="e">
        <f>C1033</f>
        <v>#N/A</v>
      </c>
      <c r="J1033" s="136" t="str">
        <f t="shared" si="145"/>
        <v/>
      </c>
    </row>
    <row r="1034" spans="1:10">
      <c r="A1034" s="252">
        <v>1</v>
      </c>
      <c r="B1034" s="253" t="s">
        <v>28</v>
      </c>
      <c r="C1034" s="292" t="e">
        <f>VLOOKUP($F$39,'Анализ стоимости'!$A$4:$BY$59,12+2,0)</f>
        <v>#N/A</v>
      </c>
      <c r="D1034" s="293"/>
      <c r="J1034" s="136" t="str">
        <f t="shared" si="145"/>
        <v/>
      </c>
    </row>
    <row r="1035" spans="1:10">
      <c r="A1035" s="252">
        <v>2</v>
      </c>
      <c r="B1035" s="253" t="s">
        <v>23</v>
      </c>
      <c r="C1035" s="292" t="e">
        <f>VLOOKUP($F$39,'Анализ стоимости'!$A$4:$DK$59,13+2,0)</f>
        <v>#N/A</v>
      </c>
      <c r="D1035" s="293"/>
      <c r="J1035" s="136" t="str">
        <f t="shared" si="145"/>
        <v/>
      </c>
    </row>
    <row r="1036" spans="1:10" ht="31.5">
      <c r="A1036" s="252">
        <v>3</v>
      </c>
      <c r="B1036" s="253" t="s">
        <v>2</v>
      </c>
      <c r="C1036" s="292" t="e">
        <f>VLOOKUP($F$39,'Анализ стоимости'!$A$4:$DK$59,14+2,0)</f>
        <v>#N/A</v>
      </c>
      <c r="D1036" s="293"/>
      <c r="J1036" s="136" t="str">
        <f t="shared" si="145"/>
        <v/>
      </c>
    </row>
    <row r="1037" spans="1:10">
      <c r="A1037" s="252">
        <v>4</v>
      </c>
      <c r="B1037" s="253" t="s">
        <v>24</v>
      </c>
      <c r="C1037" s="292" t="e">
        <f>VLOOKUP($F$39,'Анализ стоимости'!$A$4:$DK$59,15+2,0)</f>
        <v>#N/A</v>
      </c>
      <c r="D1037" s="293"/>
      <c r="J1037" s="136" t="str">
        <f t="shared" si="145"/>
        <v/>
      </c>
    </row>
    <row r="1038" spans="1:10">
      <c r="A1038" s="252">
        <v>5</v>
      </c>
      <c r="B1038" s="253" t="s">
        <v>5</v>
      </c>
      <c r="C1038" s="292" t="e">
        <f>VLOOKUP($F$39,'Анализ стоимости'!$A$4:$DK$59,16+2,0)</f>
        <v>#N/A</v>
      </c>
      <c r="D1038" s="293"/>
      <c r="J1038" s="136" t="str">
        <f t="shared" si="145"/>
        <v/>
      </c>
    </row>
    <row r="1039" spans="1:10">
      <c r="A1039" s="252">
        <v>6</v>
      </c>
      <c r="B1039" s="253" t="s">
        <v>10</v>
      </c>
      <c r="C1039" s="292" t="e">
        <f>VLOOKUP($F$39,'Анализ стоимости'!$A$4:$DK$59,20+2,0)</f>
        <v>#N/A</v>
      </c>
      <c r="D1039" s="293"/>
      <c r="J1039" s="136" t="str">
        <f t="shared" si="145"/>
        <v/>
      </c>
    </row>
    <row r="1040" spans="1:10">
      <c r="A1040" s="252">
        <v>7</v>
      </c>
      <c r="B1040" s="253" t="s">
        <v>79</v>
      </c>
      <c r="C1040" s="292" t="e">
        <f>VLOOKUP($F$39,'Анализ стоимости'!$A$4:$DK$59,21+2,0)+VLOOKUP($F$39,'Анализ стоимости'!$A$4:$DK$59,23+2,0)+VLOOKUP($F$39,'Анализ стоимости'!$A$4:$DK$59,24+2,0)+VLOOKUP($F$39,'Анализ стоимости'!$A$4:$DK$59,25+2,0)+VLOOKUP($F$39,'Анализ стоимости'!$A$4:$DK$59,26+2,0)+VLOOKUP($F$39,'Анализ стоимости'!$A$4:$DK$59,27+2,0)+VLOOKUP($F$39,'Анализ стоимости'!$A$4:$DK$59,28+2,0)+VLOOKUP($F$39,'Анализ стоимости'!$A$4:$DK$59,29+2,0)</f>
        <v>#N/A</v>
      </c>
      <c r="D1040" s="293"/>
      <c r="J1040" s="136" t="str">
        <f t="shared" si="145"/>
        <v/>
      </c>
    </row>
    <row r="1041" spans="1:10">
      <c r="A1041" s="252">
        <v>8</v>
      </c>
      <c r="B1041" s="253" t="s">
        <v>46</v>
      </c>
      <c r="C1041" s="292" t="e">
        <f>VLOOKUP($F$39,'Анализ стоимости'!$A$4:$DK$59,34+2,0)</f>
        <v>#N/A</v>
      </c>
      <c r="D1041" s="293"/>
      <c r="J1041" s="136" t="str">
        <f t="shared" si="145"/>
        <v/>
      </c>
    </row>
    <row r="1042" spans="1:10">
      <c r="A1042" s="252">
        <v>9</v>
      </c>
      <c r="B1042" s="253" t="s">
        <v>169</v>
      </c>
      <c r="C1042" s="292" t="e">
        <f>SUM(C1034:D1041)</f>
        <v>#N/A</v>
      </c>
      <c r="D1042" s="293"/>
      <c r="J1042" s="136" t="str">
        <f t="shared" si="145"/>
        <v/>
      </c>
    </row>
    <row r="1043" spans="1:10">
      <c r="A1043" s="294" t="s">
        <v>161</v>
      </c>
      <c r="B1043" s="294"/>
      <c r="C1043" s="294"/>
      <c r="D1043" s="294"/>
      <c r="J1043" s="136" t="str">
        <f t="shared" si="145"/>
        <v/>
      </c>
    </row>
    <row r="1044" spans="1:10" ht="31.5">
      <c r="A1044" s="255" t="s">
        <v>53</v>
      </c>
      <c r="B1044" s="249" t="s">
        <v>15</v>
      </c>
      <c r="C1044" s="249" t="s">
        <v>152</v>
      </c>
      <c r="D1044" s="249" t="s">
        <v>88</v>
      </c>
      <c r="J1044" s="136" t="str">
        <f t="shared" si="145"/>
        <v/>
      </c>
    </row>
    <row r="1045" spans="1:10">
      <c r="A1045" s="252">
        <v>10</v>
      </c>
      <c r="B1045" s="252" t="e">
        <f>VLOOKUP((VLOOKUP($F$39,'Анализ стоимости'!$A$4:$BY$59,12,0)),'Расчет инфляции'!$BD$5:$BE$22,2,0)</f>
        <v>#N/A</v>
      </c>
      <c r="C1045" s="252"/>
      <c r="D1045" s="253"/>
      <c r="J1045" s="136" t="str">
        <f t="shared" si="145"/>
        <v/>
      </c>
    </row>
    <row r="1046" spans="1:10">
      <c r="A1046" s="252" t="e">
        <f>IF(D1046=0,0,A1045+1)</f>
        <v>#N/A</v>
      </c>
      <c r="B1046" s="253" t="e">
        <f>CONCATENATE("2014 г. (",CHOOSE(VLOOKUP(F$39,'Анализ стоимости'!$A$4:$DK$90,68,0),"Январь","Февраль","Март","Апрель","Май","Июнь","Июль","Август","Сентябрь","Октябрь","Ноябрь","Декабрь")," - ",CHOOSE(VLOOKUP(F$39,'Анализ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046" s="252" t="s">
        <v>153</v>
      </c>
      <c r="D1046" s="278" t="e">
        <f>IF(D1048=0,0,VLOOKUP($F$39,'Анализ стоимости'!$A$4:$DK$59,74,0)*100+100)</f>
        <v>#N/A</v>
      </c>
      <c r="J1046" s="136" t="e">
        <f>IF(D1046=0,"",1)</f>
        <v>#N/A</v>
      </c>
    </row>
    <row r="1047" spans="1:10">
      <c r="A1047" s="252" t="e">
        <f>IF(D1047=0,0,IF(D1046=0,A1045+1,A1046+1))</f>
        <v>#N/A</v>
      </c>
      <c r="B1047" s="253" t="e">
        <f>CONCATENATE("2015 г. (",CHOOSE(VLOOKUP(F$39,'Анализ стоимости'!$A$4:$DK$90,70,0),"Январь","Февраль","Март","Апрель","Май","Июнь","Июль","Август","Сентябрь","Октябрь","Ноябрь","Декабрь")," - ",CHOOSE(VLOOKUP(F$39,'Анализ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047" s="252" t="s">
        <v>153</v>
      </c>
      <c r="D1047" s="278" t="e">
        <f>IF(D1049=0,0,VLOOKUP($F$39,'Анализ стоимости'!$A$4:$DK$59,75,0)*100+100)</f>
        <v>#N/A</v>
      </c>
      <c r="J1047" s="136" t="e">
        <f t="shared" ref="J1047:J1048" si="146">IF(D1047=0,"",1)</f>
        <v>#N/A</v>
      </c>
    </row>
    <row r="1048" spans="1:10">
      <c r="A1048" s="252" t="e">
        <f>IF(D1048=0,0,IF(D1047=0,A1046+1,A1047+1))</f>
        <v>#N/A</v>
      </c>
      <c r="B1048" s="253" t="s">
        <v>154</v>
      </c>
      <c r="C1048" s="252" t="s">
        <v>156</v>
      </c>
      <c r="D1048" s="257" t="e">
        <f>VLOOKUP($F$39,'Анализ стоимости'!$A$4:$DK$59,51,0)</f>
        <v>#N/A</v>
      </c>
      <c r="J1048" s="136" t="e">
        <f t="shared" si="146"/>
        <v>#N/A</v>
      </c>
    </row>
    <row r="1049" spans="1:10">
      <c r="A1049" s="252" t="e">
        <f>IF(D1049=0,0,IF(D1048=0,A1047+1,A1048+1))</f>
        <v>#N/A</v>
      </c>
      <c r="B1049" s="253" t="s">
        <v>155</v>
      </c>
      <c r="C1049" s="252" t="s">
        <v>156</v>
      </c>
      <c r="D1049" s="257" t="e">
        <f>VLOOKUP($F$39,'Анализ стоимости'!$A$4:$DK$59,61,0)</f>
        <v>#N/A</v>
      </c>
      <c r="J1049" s="136" t="e">
        <f>IF(D1049=0,"",1)</f>
        <v>#N/A</v>
      </c>
    </row>
    <row r="1050" spans="1:10">
      <c r="A1050" s="294" t="s">
        <v>157</v>
      </c>
      <c r="B1050" s="294"/>
      <c r="C1050" s="294"/>
      <c r="D1050" s="294"/>
      <c r="J1050" s="136" t="str">
        <f>IF($F$39=0,"",1)</f>
        <v/>
      </c>
    </row>
    <row r="1051" spans="1:10" ht="31.5">
      <c r="A1051" s="252" t="e">
        <f>IF(D1051=0,0,IF(D1049=0,IF(D1048=0,A1045+1,A1048+1),A1049+1))</f>
        <v>#N/A</v>
      </c>
      <c r="B1051" s="258" t="s">
        <v>206</v>
      </c>
      <c r="C1051" s="252" t="s">
        <v>156</v>
      </c>
      <c r="D1051" s="257" t="e">
        <f>SUM(VLOOKUP($F$39,'Анализ стоимости'!$A$4:$DK$59,46,0),D1048)</f>
        <v>#N/A</v>
      </c>
      <c r="E1051" s="136"/>
      <c r="J1051" s="136" t="e">
        <f t="shared" ref="J1051:J1057" si="147">IF(D1051=0,"",1)</f>
        <v>#N/A</v>
      </c>
    </row>
    <row r="1052" spans="1:10">
      <c r="A1052" s="252" t="e">
        <f>IF(D1052=0,0,A1051+1)</f>
        <v>#N/A</v>
      </c>
      <c r="B1052" s="258" t="s">
        <v>159</v>
      </c>
      <c r="C1052" s="252" t="s">
        <v>156</v>
      </c>
      <c r="D1052" s="257" t="e">
        <f>VLOOKUP($F$39,'Анализ стоимости'!$A$4:$DK$59,56,0)</f>
        <v>#N/A</v>
      </c>
      <c r="E1052" s="136"/>
      <c r="J1052" s="136" t="e">
        <f t="shared" si="147"/>
        <v>#N/A</v>
      </c>
    </row>
    <row r="1053" spans="1:10">
      <c r="A1053" s="252" t="e">
        <f>IF(D1053=0,0,A1052+1)</f>
        <v>#N/A</v>
      </c>
      <c r="B1053" s="258" t="s">
        <v>205</v>
      </c>
      <c r="C1053" s="252" t="s">
        <v>156</v>
      </c>
      <c r="D1053" s="257" t="e">
        <f>SUM(D1051:D1052)</f>
        <v>#N/A</v>
      </c>
      <c r="E1053" s="254" t="e">
        <f>VLOOKUP($F$39,'Анализ стоимости'!$A$4:$DK$59,76,0)</f>
        <v>#N/A</v>
      </c>
      <c r="J1053" s="136" t="e">
        <f t="shared" si="147"/>
        <v>#N/A</v>
      </c>
    </row>
    <row r="1054" spans="1:10" ht="31.5">
      <c r="A1054" s="252" t="e">
        <f>IF(D1054=0,0,IF(D1053=0,IF(D1049=0,A1045+1,A1049+1),A1053+1))</f>
        <v>#N/A</v>
      </c>
      <c r="B1054" s="258" t="s">
        <v>204</v>
      </c>
      <c r="C1054" s="252" t="s">
        <v>156</v>
      </c>
      <c r="D1054" s="257" t="e">
        <f>VLOOKUP($F$39,'Анализ стоимости'!$A$4:$DK$59,41,0)-VLOOKUP($F$39,'Анализ стоимости'!$A$4:$DK$59,46,0)+D1049</f>
        <v>#N/A</v>
      </c>
      <c r="J1054" s="136" t="e">
        <f t="shared" si="147"/>
        <v>#N/A</v>
      </c>
    </row>
    <row r="1055" spans="1:10">
      <c r="A1055" s="252" t="e">
        <f>IF(D1055=0,0,A1054+1)</f>
        <v>#N/A</v>
      </c>
      <c r="B1055" s="258" t="s">
        <v>159</v>
      </c>
      <c r="C1055" s="252" t="s">
        <v>156</v>
      </c>
      <c r="D1055" s="257" t="e">
        <f>VLOOKUP($F$39,'Анализ стоимости'!$A$4:$DK$59,66,0)</f>
        <v>#N/A</v>
      </c>
      <c r="J1055" s="136" t="e">
        <f t="shared" si="147"/>
        <v>#N/A</v>
      </c>
    </row>
    <row r="1056" spans="1:10">
      <c r="A1056" s="252" t="e">
        <f>IF(D1056=0,0,A1055+1)</f>
        <v>#N/A</v>
      </c>
      <c r="B1056" s="258" t="s">
        <v>203</v>
      </c>
      <c r="C1056" s="252" t="s">
        <v>156</v>
      </c>
      <c r="D1056" s="257" t="e">
        <f>SUM(D1054:D1055)</f>
        <v>#N/A</v>
      </c>
      <c r="E1056" s="254" t="e">
        <f>VLOOKUP($F$39,'Анализ стоимости'!$A$4:$DK$59,77,0)</f>
        <v>#N/A</v>
      </c>
      <c r="J1056" s="136" t="e">
        <f t="shared" si="147"/>
        <v>#N/A</v>
      </c>
    </row>
    <row r="1057" spans="1:10">
      <c r="A1057" s="252" t="e">
        <f>IF(D1057=0,0,A1056+1)</f>
        <v>#N/A</v>
      </c>
      <c r="B1057" s="258" t="s">
        <v>158</v>
      </c>
      <c r="C1057" s="252" t="s">
        <v>156</v>
      </c>
      <c r="D1057" s="257" t="e">
        <f>IF(OR(D1053=0,D1056=0),0,D1056+D1053)</f>
        <v>#N/A</v>
      </c>
      <c r="E1057" s="254" t="e">
        <f>VLOOKUP($F$39,'Анализ стоимости'!$A$4:$DK$59,67,0)</f>
        <v>#N/A</v>
      </c>
      <c r="J1057" s="136" t="e">
        <f t="shared" si="147"/>
        <v>#N/A</v>
      </c>
    </row>
    <row r="1058" spans="1:10">
      <c r="A1058" s="262"/>
      <c r="B1058" s="262"/>
      <c r="C1058" s="262"/>
      <c r="D1058" s="263"/>
      <c r="J1058" s="136" t="str">
        <f>IF($F$39=0,"",1)</f>
        <v/>
      </c>
    </row>
    <row r="1059" spans="1:10" ht="31.5" customHeight="1">
      <c r="A1059" s="289" t="str">
        <f>'Анализ стоимости'!M$52</f>
        <v>Заместитель главы Вышестеблиевского сельского поселения Темрюкского района</v>
      </c>
      <c r="B1059" s="290"/>
      <c r="C1059" s="264"/>
      <c r="D1059" s="265" t="str">
        <f>CONCATENATE("_____________________ ",'Анализ стоимости'!M$53)</f>
        <v>_____________________ Н.Д.Шевченко</v>
      </c>
      <c r="G1059" s="267" t="str">
        <f>A1059</f>
        <v>Заместитель главы Вышестеблиевского сельского поселения Темрюкского района</v>
      </c>
      <c r="J1059" s="136" t="str">
        <f>IF($F$12=0,"",1)</f>
        <v/>
      </c>
    </row>
    <row r="1060" spans="1:10" s="237" customFormat="1" ht="5.25">
      <c r="A1060" s="269"/>
      <c r="B1060" s="269"/>
      <c r="C1060" s="269"/>
      <c r="D1060" s="270"/>
      <c r="G1060" s="238"/>
      <c r="H1060" s="238"/>
      <c r="I1060" s="273"/>
      <c r="J1060" s="277" t="str">
        <f>IF($F$12=0,"",1)</f>
        <v/>
      </c>
    </row>
    <row r="1061" spans="1:10">
      <c r="A1061" s="291">
        <f ca="1">TODAY()</f>
        <v>41941</v>
      </c>
      <c r="B1061" s="291"/>
      <c r="C1061" s="224"/>
      <c r="D1061" s="224"/>
      <c r="J1061" s="136" t="str">
        <f>IF($F$39=0,"",1)</f>
        <v/>
      </c>
    </row>
    <row r="1062" spans="1:10">
      <c r="A1062" s="295" t="s">
        <v>235</v>
      </c>
      <c r="B1062" s="295"/>
      <c r="C1062" s="295"/>
      <c r="D1062" s="295"/>
      <c r="G1062" s="226"/>
      <c r="H1062" s="226"/>
      <c r="J1062" s="136" t="str">
        <f t="shared" ref="J1062:J1079" si="148">IF($F$40=0,"",1)</f>
        <v/>
      </c>
    </row>
    <row r="1063" spans="1:10">
      <c r="A1063" s="296" t="e">
        <f>CONCATENATE("Наименование объекта: ",VLOOKUP($F$40,'Анализ стоимости'!$A$4:$DK$59,11+2,0))</f>
        <v>#N/A</v>
      </c>
      <c r="B1063" s="296"/>
      <c r="C1063" s="296"/>
      <c r="D1063" s="296"/>
      <c r="I1063" s="276" t="e">
        <f>A1063</f>
        <v>#N/A</v>
      </c>
      <c r="J1063" s="136" t="str">
        <f t="shared" si="148"/>
        <v/>
      </c>
    </row>
    <row r="1064" spans="1:10" s="237" customFormat="1" ht="5.25">
      <c r="A1064" s="246"/>
      <c r="B1064" s="235"/>
      <c r="C1064" s="235"/>
      <c r="D1064" s="235"/>
      <c r="G1064" s="238"/>
      <c r="H1064" s="238"/>
      <c r="I1064" s="273"/>
      <c r="J1064" s="277" t="str">
        <f t="shared" si="148"/>
        <v/>
      </c>
    </row>
    <row r="1065" spans="1:10">
      <c r="A1065" s="248" t="s">
        <v>149</v>
      </c>
      <c r="B1065" s="241"/>
      <c r="C1065" s="241"/>
      <c r="D1065" s="241"/>
      <c r="J1065" s="136" t="str">
        <f t="shared" si="148"/>
        <v/>
      </c>
    </row>
    <row r="1066" spans="1:10">
      <c r="A1066" s="297" t="s">
        <v>150</v>
      </c>
      <c r="B1066" s="297"/>
      <c r="C1066" s="297"/>
      <c r="D1066" s="297"/>
      <c r="J1066" s="136" t="str">
        <f t="shared" si="148"/>
        <v/>
      </c>
    </row>
    <row r="1067" spans="1:10" ht="47.25" customHeight="1">
      <c r="A1067" s="249" t="s">
        <v>53</v>
      </c>
      <c r="B1067" s="249" t="s">
        <v>87</v>
      </c>
      <c r="C1067" s="298" t="e">
        <f>CONCATENATE("Стоимость  согласно сметной документации (руб.) в текущих ценах по состоянию на ",VLOOKUP($F$40,'Анализ стоимости'!$A$4:$BY$59,6+2,0)," г.")</f>
        <v>#N/A</v>
      </c>
      <c r="D1067" s="299"/>
      <c r="H1067" s="250" t="e">
        <f>C1067</f>
        <v>#N/A</v>
      </c>
      <c r="J1067" s="136" t="str">
        <f t="shared" si="148"/>
        <v/>
      </c>
    </row>
    <row r="1068" spans="1:10">
      <c r="A1068" s="252">
        <v>1</v>
      </c>
      <c r="B1068" s="253" t="s">
        <v>28</v>
      </c>
      <c r="C1068" s="292" t="e">
        <f>VLOOKUP($F$40,'Анализ стоимости'!$A$4:$BY$59,12+2,0)</f>
        <v>#N/A</v>
      </c>
      <c r="D1068" s="293"/>
      <c r="J1068" s="136" t="str">
        <f t="shared" si="148"/>
        <v/>
      </c>
    </row>
    <row r="1069" spans="1:10">
      <c r="A1069" s="252">
        <v>2</v>
      </c>
      <c r="B1069" s="253" t="s">
        <v>23</v>
      </c>
      <c r="C1069" s="292" t="e">
        <f>VLOOKUP($F$40,'Анализ стоимости'!$A$4:$DK$59,13+2,0)</f>
        <v>#N/A</v>
      </c>
      <c r="D1069" s="293"/>
      <c r="J1069" s="136" t="str">
        <f t="shared" si="148"/>
        <v/>
      </c>
    </row>
    <row r="1070" spans="1:10" ht="31.5">
      <c r="A1070" s="252">
        <v>3</v>
      </c>
      <c r="B1070" s="253" t="s">
        <v>2</v>
      </c>
      <c r="C1070" s="292" t="e">
        <f>VLOOKUP($F$40,'Анализ стоимости'!$A$4:$DK$59,14+2,0)</f>
        <v>#N/A</v>
      </c>
      <c r="D1070" s="293"/>
      <c r="J1070" s="136" t="str">
        <f t="shared" si="148"/>
        <v/>
      </c>
    </row>
    <row r="1071" spans="1:10">
      <c r="A1071" s="252">
        <v>4</v>
      </c>
      <c r="B1071" s="253" t="s">
        <v>24</v>
      </c>
      <c r="C1071" s="292" t="e">
        <f>VLOOKUP($F$40,'Анализ стоимости'!$A$4:$DK$59,15+2,0)</f>
        <v>#N/A</v>
      </c>
      <c r="D1071" s="293"/>
      <c r="J1071" s="136" t="str">
        <f t="shared" si="148"/>
        <v/>
      </c>
    </row>
    <row r="1072" spans="1:10">
      <c r="A1072" s="252">
        <v>5</v>
      </c>
      <c r="B1072" s="253" t="s">
        <v>5</v>
      </c>
      <c r="C1072" s="292" t="e">
        <f>VLOOKUP($F$40,'Анализ стоимости'!$A$4:$DK$59,16+2,0)</f>
        <v>#N/A</v>
      </c>
      <c r="D1072" s="293"/>
      <c r="J1072" s="136" t="str">
        <f t="shared" si="148"/>
        <v/>
      </c>
    </row>
    <row r="1073" spans="1:10">
      <c r="A1073" s="252">
        <v>6</v>
      </c>
      <c r="B1073" s="253" t="s">
        <v>10</v>
      </c>
      <c r="C1073" s="292" t="e">
        <f>VLOOKUP($F$40,'Анализ стоимости'!$A$4:$DK$59,20+2,0)</f>
        <v>#N/A</v>
      </c>
      <c r="D1073" s="293"/>
      <c r="J1073" s="136" t="str">
        <f t="shared" si="148"/>
        <v/>
      </c>
    </row>
    <row r="1074" spans="1:10">
      <c r="A1074" s="252">
        <v>7</v>
      </c>
      <c r="B1074" s="253" t="s">
        <v>79</v>
      </c>
      <c r="C1074" s="292" t="e">
        <f>VLOOKUP($F$40,'Анализ стоимости'!$A$4:$DK$59,21+2,0)+VLOOKUP($F$40,'Анализ стоимости'!$A$4:$DK$59,23+2,0)+VLOOKUP($F$40,'Анализ стоимости'!$A$4:$DK$59,24+2,0)+VLOOKUP($F$40,'Анализ стоимости'!$A$4:$DK$59,25+2,0)+VLOOKUP($F$40,'Анализ стоимости'!$A$4:$DK$59,26+2,0)+VLOOKUP($F$40,'Анализ стоимости'!$A$4:$DK$59,27+2,0)+VLOOKUP($F$40,'Анализ стоимости'!$A$4:$DK$59,28+2,0)+VLOOKUP($F$40,'Анализ стоимости'!$A$4:$DK$59,29+2,0)</f>
        <v>#N/A</v>
      </c>
      <c r="D1074" s="293"/>
      <c r="J1074" s="136" t="str">
        <f t="shared" si="148"/>
        <v/>
      </c>
    </row>
    <row r="1075" spans="1:10">
      <c r="A1075" s="252">
        <v>8</v>
      </c>
      <c r="B1075" s="253" t="s">
        <v>46</v>
      </c>
      <c r="C1075" s="292" t="e">
        <f>VLOOKUP($F$40,'Анализ стоимости'!$A$4:$DK$59,34+2,0)</f>
        <v>#N/A</v>
      </c>
      <c r="D1075" s="293"/>
      <c r="J1075" s="136" t="str">
        <f t="shared" si="148"/>
        <v/>
      </c>
    </row>
    <row r="1076" spans="1:10">
      <c r="A1076" s="252">
        <v>9</v>
      </c>
      <c r="B1076" s="253" t="s">
        <v>169</v>
      </c>
      <c r="C1076" s="292" t="e">
        <f>SUM(C1068:D1075)</f>
        <v>#N/A</v>
      </c>
      <c r="D1076" s="293"/>
      <c r="J1076" s="136" t="str">
        <f t="shared" si="148"/>
        <v/>
      </c>
    </row>
    <row r="1077" spans="1:10">
      <c r="A1077" s="294" t="s">
        <v>161</v>
      </c>
      <c r="B1077" s="294"/>
      <c r="C1077" s="294"/>
      <c r="D1077" s="294"/>
      <c r="J1077" s="136" t="str">
        <f t="shared" si="148"/>
        <v/>
      </c>
    </row>
    <row r="1078" spans="1:10" ht="31.5">
      <c r="A1078" s="255" t="s">
        <v>53</v>
      </c>
      <c r="B1078" s="249" t="s">
        <v>15</v>
      </c>
      <c r="C1078" s="249" t="s">
        <v>152</v>
      </c>
      <c r="D1078" s="249" t="s">
        <v>88</v>
      </c>
      <c r="J1078" s="136" t="str">
        <f t="shared" si="148"/>
        <v/>
      </c>
    </row>
    <row r="1079" spans="1:10">
      <c r="A1079" s="252">
        <v>10</v>
      </c>
      <c r="B1079" s="252" t="e">
        <f>VLOOKUP((VLOOKUP($F$40,'Анализ стоимости'!$A$4:$BY$59,12,0)),'Расчет инфляции'!$BD$5:$BE$22,2,0)</f>
        <v>#N/A</v>
      </c>
      <c r="C1079" s="252"/>
      <c r="D1079" s="253"/>
      <c r="J1079" s="136" t="str">
        <f t="shared" si="148"/>
        <v/>
      </c>
    </row>
    <row r="1080" spans="1:10">
      <c r="A1080" s="252" t="e">
        <f>IF(D1080=0,0,A1079+1)</f>
        <v>#N/A</v>
      </c>
      <c r="B1080" s="253" t="e">
        <f>CONCATENATE("2014 г. (",CHOOSE(VLOOKUP(F$40,'Анализ стоимости'!$A$4:$DK$90,68,0),"Январь","Февраль","Март","Апрель","Май","Июнь","Июль","Август","Сентябрь","Октябрь","Ноябрь","Декабрь")," - ",CHOOSE(VLOOKUP(F$40,'Анализ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080" s="252" t="s">
        <v>153</v>
      </c>
      <c r="D1080" s="278" t="e">
        <f>IF(D1082=0,0,VLOOKUP($F$40,'Анализ стоимости'!$A$4:$DK$59,74,0)*100+100)</f>
        <v>#N/A</v>
      </c>
      <c r="J1080" s="136" t="e">
        <f>IF(D1080=0,"",1)</f>
        <v>#N/A</v>
      </c>
    </row>
    <row r="1081" spans="1:10">
      <c r="A1081" s="252" t="e">
        <f>IF(D1081=0,0,IF(D1080=0,A1079+1,A1080+1))</f>
        <v>#N/A</v>
      </c>
      <c r="B1081" s="253" t="e">
        <f>CONCATENATE("2015 г. (",CHOOSE(VLOOKUP(F$40,'Анализ стоимости'!$A$4:$DK$90,70,0),"Январь","Февраль","Март","Апрель","Май","Июнь","Июль","Август","Сентябрь","Октябрь","Ноябрь","Декабрь")," - ",CHOOSE(VLOOKUP(F$40,'Анализ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081" s="252" t="s">
        <v>153</v>
      </c>
      <c r="D1081" s="278" t="e">
        <f>IF(D1083=0,0,VLOOKUP($F$40,'Анализ стоимости'!$A$4:$DK$59,75,0)*100+100)</f>
        <v>#N/A</v>
      </c>
      <c r="J1081" s="136" t="e">
        <f t="shared" ref="J1081:J1082" si="149">IF(D1081=0,"",1)</f>
        <v>#N/A</v>
      </c>
    </row>
    <row r="1082" spans="1:10">
      <c r="A1082" s="252" t="e">
        <f>IF(D1082=0,0,IF(D1081=0,A1080+1,A1081+1))</f>
        <v>#N/A</v>
      </c>
      <c r="B1082" s="253" t="s">
        <v>154</v>
      </c>
      <c r="C1082" s="252" t="s">
        <v>156</v>
      </c>
      <c r="D1082" s="257" t="e">
        <f>VLOOKUP($F$40,'Анализ стоимости'!$A$4:$DK$59,51,0)</f>
        <v>#N/A</v>
      </c>
      <c r="J1082" s="136" t="e">
        <f t="shared" si="149"/>
        <v>#N/A</v>
      </c>
    </row>
    <row r="1083" spans="1:10">
      <c r="A1083" s="252" t="e">
        <f>IF(D1083=0,0,IF(D1082=0,A1081+1,A1082+1))</f>
        <v>#N/A</v>
      </c>
      <c r="B1083" s="253" t="s">
        <v>155</v>
      </c>
      <c r="C1083" s="252" t="s">
        <v>156</v>
      </c>
      <c r="D1083" s="257" t="e">
        <f>VLOOKUP($F$40,'Анализ стоимости'!$A$4:$DK$59,61,0)</f>
        <v>#N/A</v>
      </c>
      <c r="J1083" s="136" t="e">
        <f>IF(D1083=0,"",1)</f>
        <v>#N/A</v>
      </c>
    </row>
    <row r="1084" spans="1:10">
      <c r="A1084" s="294" t="s">
        <v>157</v>
      </c>
      <c r="B1084" s="294"/>
      <c r="C1084" s="294"/>
      <c r="D1084" s="294"/>
      <c r="J1084" s="136" t="str">
        <f>IF($F$40=0,"",1)</f>
        <v/>
      </c>
    </row>
    <row r="1085" spans="1:10" ht="31.5">
      <c r="A1085" s="252" t="e">
        <f>IF(D1085=0,0,IF(D1083=0,IF(D1082=0,A1079+1,A1082+1),A1083+1))</f>
        <v>#N/A</v>
      </c>
      <c r="B1085" s="258" t="s">
        <v>206</v>
      </c>
      <c r="C1085" s="252" t="s">
        <v>156</v>
      </c>
      <c r="D1085" s="257" t="e">
        <f>SUM(VLOOKUP($F$40,'Анализ стоимости'!$A$4:$DK$59,46,0),D1082)</f>
        <v>#N/A</v>
      </c>
      <c r="E1085" s="136"/>
      <c r="J1085" s="136" t="e">
        <f t="shared" ref="J1085:J1091" si="150">IF(D1085=0,"",1)</f>
        <v>#N/A</v>
      </c>
    </row>
    <row r="1086" spans="1:10">
      <c r="A1086" s="252" t="e">
        <f>IF(D1086=0,0,A1085+1)</f>
        <v>#N/A</v>
      </c>
      <c r="B1086" s="258" t="s">
        <v>159</v>
      </c>
      <c r="C1086" s="252" t="s">
        <v>156</v>
      </c>
      <c r="D1086" s="257" t="e">
        <f>VLOOKUP($F$40,'Анализ стоимости'!$A$4:$DK$59,56,0)</f>
        <v>#N/A</v>
      </c>
      <c r="E1086" s="136"/>
      <c r="J1086" s="136" t="e">
        <f t="shared" si="150"/>
        <v>#N/A</v>
      </c>
    </row>
    <row r="1087" spans="1:10">
      <c r="A1087" s="252" t="e">
        <f>IF(D1087=0,0,A1086+1)</f>
        <v>#N/A</v>
      </c>
      <c r="B1087" s="258" t="s">
        <v>205</v>
      </c>
      <c r="C1087" s="252" t="s">
        <v>156</v>
      </c>
      <c r="D1087" s="257" t="e">
        <f>SUM(D1085:D1086)</f>
        <v>#N/A</v>
      </c>
      <c r="E1087" s="254" t="e">
        <f>VLOOKUP($F$40,'Анализ стоимости'!$A$4:$DK$59,76,0)</f>
        <v>#N/A</v>
      </c>
      <c r="J1087" s="136" t="e">
        <f t="shared" si="150"/>
        <v>#N/A</v>
      </c>
    </row>
    <row r="1088" spans="1:10" ht="31.5">
      <c r="A1088" s="252" t="e">
        <f>IF(D1088=0,0,IF(D1087=0,IF(D1083=0,A1079+1,A1083+1),A1087+1))</f>
        <v>#N/A</v>
      </c>
      <c r="B1088" s="258" t="s">
        <v>204</v>
      </c>
      <c r="C1088" s="252" t="s">
        <v>156</v>
      </c>
      <c r="D1088" s="257" t="e">
        <f>VLOOKUP($F$40,'Анализ стоимости'!$A$4:$DK$59,41,0)-VLOOKUP($F$40,'Анализ стоимости'!$A$4:$DK$59,46,0)+D1083</f>
        <v>#N/A</v>
      </c>
      <c r="J1088" s="136" t="e">
        <f t="shared" si="150"/>
        <v>#N/A</v>
      </c>
    </row>
    <row r="1089" spans="1:10">
      <c r="A1089" s="252" t="e">
        <f>IF(D1089=0,0,A1088+1)</f>
        <v>#N/A</v>
      </c>
      <c r="B1089" s="258" t="s">
        <v>159</v>
      </c>
      <c r="C1089" s="252" t="s">
        <v>156</v>
      </c>
      <c r="D1089" s="257" t="e">
        <f>VLOOKUP($F$40,'Анализ стоимости'!$A$4:$DK$59,66,0)</f>
        <v>#N/A</v>
      </c>
      <c r="J1089" s="136" t="e">
        <f t="shared" si="150"/>
        <v>#N/A</v>
      </c>
    </row>
    <row r="1090" spans="1:10">
      <c r="A1090" s="252" t="e">
        <f>IF(D1090=0,0,A1089+1)</f>
        <v>#N/A</v>
      </c>
      <c r="B1090" s="258" t="s">
        <v>203</v>
      </c>
      <c r="C1090" s="252" t="s">
        <v>156</v>
      </c>
      <c r="D1090" s="257" t="e">
        <f>SUM(D1088:D1089)</f>
        <v>#N/A</v>
      </c>
      <c r="E1090" s="254" t="e">
        <f>VLOOKUP($F$40,'Анализ стоимости'!$A$4:$DK$59,77,0)</f>
        <v>#N/A</v>
      </c>
      <c r="J1090" s="136" t="e">
        <f t="shared" si="150"/>
        <v>#N/A</v>
      </c>
    </row>
    <row r="1091" spans="1:10">
      <c r="A1091" s="252" t="e">
        <f>IF(D1091=0,0,A1090+1)</f>
        <v>#N/A</v>
      </c>
      <c r="B1091" s="258" t="s">
        <v>158</v>
      </c>
      <c r="C1091" s="252" t="s">
        <v>156</v>
      </c>
      <c r="D1091" s="257" t="e">
        <f>IF(OR(D1087=0,D1090=0),0,D1090+D1087)</f>
        <v>#N/A</v>
      </c>
      <c r="E1091" s="254" t="e">
        <f>VLOOKUP($F$40,'Анализ стоимости'!$A$4:$DK$59,67,0)</f>
        <v>#N/A</v>
      </c>
      <c r="J1091" s="136" t="e">
        <f t="shared" si="150"/>
        <v>#N/A</v>
      </c>
    </row>
    <row r="1092" spans="1:10">
      <c r="A1092" s="262"/>
      <c r="B1092" s="262"/>
      <c r="C1092" s="262"/>
      <c r="D1092" s="263"/>
      <c r="J1092" s="136" t="str">
        <f>IF($F$40=0,"",1)</f>
        <v/>
      </c>
    </row>
    <row r="1093" spans="1:10" ht="31.5" customHeight="1">
      <c r="A1093" s="289" t="str">
        <f>'Анализ стоимости'!M$52</f>
        <v>Заместитель главы Вышестеблиевского сельского поселения Темрюкского района</v>
      </c>
      <c r="B1093" s="290"/>
      <c r="C1093" s="264"/>
      <c r="D1093" s="265" t="str">
        <f>CONCATENATE("_____________________ ",'Анализ стоимости'!M$53)</f>
        <v>_____________________ Н.Д.Шевченко</v>
      </c>
      <c r="G1093" s="267" t="str">
        <f>A1093</f>
        <v>Заместитель главы Вышестеблиевского сельского поселения Темрюкского района</v>
      </c>
      <c r="J1093" s="136" t="str">
        <f>IF($F$12=0,"",1)</f>
        <v/>
      </c>
    </row>
    <row r="1094" spans="1:10" s="237" customFormat="1" ht="5.25">
      <c r="A1094" s="269"/>
      <c r="B1094" s="269"/>
      <c r="C1094" s="269"/>
      <c r="D1094" s="270"/>
      <c r="G1094" s="238"/>
      <c r="H1094" s="238"/>
      <c r="I1094" s="273"/>
      <c r="J1094" s="277" t="str">
        <f>IF($F$12=0,"",1)</f>
        <v/>
      </c>
    </row>
    <row r="1095" spans="1:10">
      <c r="A1095" s="291">
        <f ca="1">TODAY()</f>
        <v>41941</v>
      </c>
      <c r="B1095" s="291"/>
      <c r="C1095" s="224"/>
      <c r="D1095" s="224"/>
      <c r="J1095" s="136" t="str">
        <f>IF($F$40=0,"",1)</f>
        <v/>
      </c>
    </row>
    <row r="1096" spans="1:10">
      <c r="A1096" s="295" t="s">
        <v>236</v>
      </c>
      <c r="B1096" s="295"/>
      <c r="C1096" s="295"/>
      <c r="D1096" s="295"/>
      <c r="G1096" s="226"/>
      <c r="H1096" s="226"/>
      <c r="J1096" s="136" t="str">
        <f t="shared" ref="J1096:J1113" si="151">IF($F$41=0,"",1)</f>
        <v/>
      </c>
    </row>
    <row r="1097" spans="1:10">
      <c r="A1097" s="296" t="e">
        <f>CONCATENATE("Наименование объекта: ",VLOOKUP($F$41,'Анализ стоимости'!$A$4:$DK$59,11+2,0))</f>
        <v>#N/A</v>
      </c>
      <c r="B1097" s="296"/>
      <c r="C1097" s="296"/>
      <c r="D1097" s="296"/>
      <c r="I1097" s="276" t="e">
        <f>A1097</f>
        <v>#N/A</v>
      </c>
      <c r="J1097" s="136" t="str">
        <f t="shared" si="151"/>
        <v/>
      </c>
    </row>
    <row r="1098" spans="1:10" s="237" customFormat="1" ht="5.25">
      <c r="A1098" s="246"/>
      <c r="B1098" s="235"/>
      <c r="C1098" s="235"/>
      <c r="D1098" s="235"/>
      <c r="G1098" s="238"/>
      <c r="H1098" s="238"/>
      <c r="I1098" s="273"/>
      <c r="J1098" s="277" t="str">
        <f t="shared" si="151"/>
        <v/>
      </c>
    </row>
    <row r="1099" spans="1:10">
      <c r="A1099" s="248" t="s">
        <v>149</v>
      </c>
      <c r="B1099" s="241"/>
      <c r="C1099" s="241"/>
      <c r="D1099" s="241"/>
      <c r="J1099" s="136" t="str">
        <f t="shared" si="151"/>
        <v/>
      </c>
    </row>
    <row r="1100" spans="1:10">
      <c r="A1100" s="297" t="s">
        <v>150</v>
      </c>
      <c r="B1100" s="297"/>
      <c r="C1100" s="297"/>
      <c r="D1100" s="297"/>
      <c r="J1100" s="136" t="str">
        <f t="shared" si="151"/>
        <v/>
      </c>
    </row>
    <row r="1101" spans="1:10" ht="47.25" customHeight="1">
      <c r="A1101" s="249" t="s">
        <v>53</v>
      </c>
      <c r="B1101" s="249" t="s">
        <v>87</v>
      </c>
      <c r="C1101" s="298" t="e">
        <f>CONCATENATE("Стоимость  согласно сметной документации (руб.) в текущих ценах по состоянию на ",VLOOKUP($F$41,'Анализ стоимости'!$A$4:$BY$59,6+2,0)," г.")</f>
        <v>#N/A</v>
      </c>
      <c r="D1101" s="299"/>
      <c r="H1101" s="250" t="e">
        <f>C1101</f>
        <v>#N/A</v>
      </c>
      <c r="J1101" s="136" t="str">
        <f t="shared" si="151"/>
        <v/>
      </c>
    </row>
    <row r="1102" spans="1:10">
      <c r="A1102" s="252">
        <v>1</v>
      </c>
      <c r="B1102" s="253" t="s">
        <v>28</v>
      </c>
      <c r="C1102" s="292" t="e">
        <f>VLOOKUP($F$41,'Анализ стоимости'!$A$4:$BY$59,12+2,0)</f>
        <v>#N/A</v>
      </c>
      <c r="D1102" s="293"/>
      <c r="J1102" s="136" t="str">
        <f t="shared" si="151"/>
        <v/>
      </c>
    </row>
    <row r="1103" spans="1:10">
      <c r="A1103" s="252">
        <v>2</v>
      </c>
      <c r="B1103" s="253" t="s">
        <v>23</v>
      </c>
      <c r="C1103" s="292" t="e">
        <f>VLOOKUP($F$41,'Анализ стоимости'!$A$4:$DK$59,13+2,0)</f>
        <v>#N/A</v>
      </c>
      <c r="D1103" s="293"/>
      <c r="J1103" s="136" t="str">
        <f t="shared" si="151"/>
        <v/>
      </c>
    </row>
    <row r="1104" spans="1:10" ht="31.5">
      <c r="A1104" s="252">
        <v>3</v>
      </c>
      <c r="B1104" s="253" t="s">
        <v>2</v>
      </c>
      <c r="C1104" s="292" t="e">
        <f>VLOOKUP($F$41,'Анализ стоимости'!$A$4:$DK$59,14+2,0)</f>
        <v>#N/A</v>
      </c>
      <c r="D1104" s="293"/>
      <c r="J1104" s="136" t="str">
        <f t="shared" si="151"/>
        <v/>
      </c>
    </row>
    <row r="1105" spans="1:10">
      <c r="A1105" s="252">
        <v>4</v>
      </c>
      <c r="B1105" s="253" t="s">
        <v>24</v>
      </c>
      <c r="C1105" s="292" t="e">
        <f>VLOOKUP($F$41,'Анализ стоимости'!$A$4:$DK$59,15+2,0)</f>
        <v>#N/A</v>
      </c>
      <c r="D1105" s="293"/>
      <c r="J1105" s="136" t="str">
        <f t="shared" si="151"/>
        <v/>
      </c>
    </row>
    <row r="1106" spans="1:10">
      <c r="A1106" s="252">
        <v>5</v>
      </c>
      <c r="B1106" s="253" t="s">
        <v>5</v>
      </c>
      <c r="C1106" s="292" t="e">
        <f>VLOOKUP($F$41,'Анализ стоимости'!$A$4:$DK$59,16+2,0)</f>
        <v>#N/A</v>
      </c>
      <c r="D1106" s="293"/>
      <c r="J1106" s="136" t="str">
        <f t="shared" si="151"/>
        <v/>
      </c>
    </row>
    <row r="1107" spans="1:10">
      <c r="A1107" s="252">
        <v>6</v>
      </c>
      <c r="B1107" s="253" t="s">
        <v>10</v>
      </c>
      <c r="C1107" s="292" t="e">
        <f>VLOOKUP($F$41,'Анализ стоимости'!$A$4:$DK$59,20+2,0)</f>
        <v>#N/A</v>
      </c>
      <c r="D1107" s="293"/>
      <c r="J1107" s="136" t="str">
        <f t="shared" si="151"/>
        <v/>
      </c>
    </row>
    <row r="1108" spans="1:10">
      <c r="A1108" s="252">
        <v>7</v>
      </c>
      <c r="B1108" s="253" t="s">
        <v>79</v>
      </c>
      <c r="C1108" s="292" t="e">
        <f>VLOOKUP($F$41,'Анализ стоимости'!$A$4:$DK$59,21+2,0)+VLOOKUP($F$41,'Анализ стоимости'!$A$4:$DK$59,23+2,0)+VLOOKUP($F$41,'Анализ стоимости'!$A$4:$DK$59,24+2,0)+VLOOKUP($F$41,'Анализ стоимости'!$A$4:$DK$59,25+2,0)+VLOOKUP($F$41,'Анализ стоимости'!$A$4:$DK$59,26+2,0)+VLOOKUP($F$41,'Анализ стоимости'!$A$4:$DK$59,27+2,0)+VLOOKUP($F$41,'Анализ стоимости'!$A$4:$DK$59,28+2,0)+VLOOKUP($F$41,'Анализ стоимости'!$A$4:$DK$59,29+2,0)</f>
        <v>#N/A</v>
      </c>
      <c r="D1108" s="293"/>
      <c r="J1108" s="136" t="str">
        <f t="shared" si="151"/>
        <v/>
      </c>
    </row>
    <row r="1109" spans="1:10">
      <c r="A1109" s="252">
        <v>8</v>
      </c>
      <c r="B1109" s="253" t="s">
        <v>46</v>
      </c>
      <c r="C1109" s="292" t="e">
        <f>VLOOKUP($F$41,'Анализ стоимости'!$A$4:$DK$59,34+2,0)</f>
        <v>#N/A</v>
      </c>
      <c r="D1109" s="293"/>
      <c r="J1109" s="136" t="str">
        <f t="shared" si="151"/>
        <v/>
      </c>
    </row>
    <row r="1110" spans="1:10">
      <c r="A1110" s="252">
        <v>9</v>
      </c>
      <c r="B1110" s="253" t="s">
        <v>169</v>
      </c>
      <c r="C1110" s="292" t="e">
        <f>SUM(C1102:D1109)</f>
        <v>#N/A</v>
      </c>
      <c r="D1110" s="293"/>
      <c r="J1110" s="136" t="str">
        <f t="shared" si="151"/>
        <v/>
      </c>
    </row>
    <row r="1111" spans="1:10">
      <c r="A1111" s="294" t="s">
        <v>161</v>
      </c>
      <c r="B1111" s="294"/>
      <c r="C1111" s="294"/>
      <c r="D1111" s="294"/>
      <c r="J1111" s="136" t="str">
        <f t="shared" si="151"/>
        <v/>
      </c>
    </row>
    <row r="1112" spans="1:10" ht="31.5">
      <c r="A1112" s="255" t="s">
        <v>53</v>
      </c>
      <c r="B1112" s="249" t="s">
        <v>15</v>
      </c>
      <c r="C1112" s="249" t="s">
        <v>152</v>
      </c>
      <c r="D1112" s="249" t="s">
        <v>88</v>
      </c>
      <c r="J1112" s="136" t="str">
        <f t="shared" si="151"/>
        <v/>
      </c>
    </row>
    <row r="1113" spans="1:10">
      <c r="A1113" s="252">
        <v>10</v>
      </c>
      <c r="B1113" s="252" t="e">
        <f>VLOOKUP((VLOOKUP($F$41,'Анализ стоимости'!$A$4:$BY$59,12,0)),'Расчет инфляции'!$BD$5:$BE$22,2,0)</f>
        <v>#N/A</v>
      </c>
      <c r="C1113" s="252"/>
      <c r="D1113" s="253"/>
      <c r="J1113" s="136" t="str">
        <f t="shared" si="151"/>
        <v/>
      </c>
    </row>
    <row r="1114" spans="1:10">
      <c r="A1114" s="252" t="e">
        <f>IF(D1114=0,0,A1113+1)</f>
        <v>#N/A</v>
      </c>
      <c r="B1114" s="253" t="e">
        <f>CONCATENATE("2014 г. (",CHOOSE(VLOOKUP(F$41,'Анализ стоимости'!$A$4:$DK$90,68,0),"Январь","Февраль","Март","Апрель","Май","Июнь","Июль","Август","Сентябрь","Октябрь","Ноябрь","Декабрь")," - ",CHOOSE(VLOOKUP(F$41,'Анализ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114" s="252" t="s">
        <v>153</v>
      </c>
      <c r="D1114" s="278" t="e">
        <f>IF(D1116=0,0,VLOOKUP($F$41,'Анализ стоимости'!$A$4:$DK$59,74,0)*100+100)</f>
        <v>#N/A</v>
      </c>
      <c r="J1114" s="136" t="e">
        <f>IF(D1114=0,"",1)</f>
        <v>#N/A</v>
      </c>
    </row>
    <row r="1115" spans="1:10">
      <c r="A1115" s="252" t="e">
        <f>IF(D1115=0,0,IF(D1114=0,A1113+1,A1114+1))</f>
        <v>#N/A</v>
      </c>
      <c r="B1115" s="253" t="e">
        <f>CONCATENATE("2015 г. (",CHOOSE(VLOOKUP(F$41,'Анализ стоимости'!$A$4:$DK$90,70,0),"Январь","Февраль","Март","Апрель","Май","Июнь","Июль","Август","Сентябрь","Октябрь","Ноябрь","Декабрь")," - ",CHOOSE(VLOOKUP(F$41,'Анализ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115" s="252" t="s">
        <v>153</v>
      </c>
      <c r="D1115" s="278" t="e">
        <f>IF(D1117=0,0,VLOOKUP($F$41,'Анализ стоимости'!$A$4:$DK$59,75,0)*100+100)</f>
        <v>#N/A</v>
      </c>
      <c r="J1115" s="136" t="e">
        <f t="shared" ref="J1115:J1116" si="152">IF(D1115=0,"",1)</f>
        <v>#N/A</v>
      </c>
    </row>
    <row r="1116" spans="1:10">
      <c r="A1116" s="252" t="e">
        <f>IF(D1116=0,0,IF(D1115=0,A1114+1,A1115+1))</f>
        <v>#N/A</v>
      </c>
      <c r="B1116" s="253" t="s">
        <v>154</v>
      </c>
      <c r="C1116" s="252" t="s">
        <v>156</v>
      </c>
      <c r="D1116" s="257" t="e">
        <f>VLOOKUP($F$41,'Анализ стоимости'!$A$4:$DK$59,51,0)</f>
        <v>#N/A</v>
      </c>
      <c r="J1116" s="136" t="e">
        <f t="shared" si="152"/>
        <v>#N/A</v>
      </c>
    </row>
    <row r="1117" spans="1:10">
      <c r="A1117" s="252" t="e">
        <f>IF(D1117=0,0,IF(D1116=0,A1115+1,A1116+1))</f>
        <v>#N/A</v>
      </c>
      <c r="B1117" s="253" t="s">
        <v>155</v>
      </c>
      <c r="C1117" s="252" t="s">
        <v>156</v>
      </c>
      <c r="D1117" s="257" t="e">
        <f>VLOOKUP($F$41,'Анализ стоимости'!$A$4:$DK$59,61,0)</f>
        <v>#N/A</v>
      </c>
      <c r="J1117" s="136" t="e">
        <f>IF(D1117=0,"",1)</f>
        <v>#N/A</v>
      </c>
    </row>
    <row r="1118" spans="1:10">
      <c r="A1118" s="294" t="s">
        <v>157</v>
      </c>
      <c r="B1118" s="294"/>
      <c r="C1118" s="294"/>
      <c r="D1118" s="294"/>
      <c r="J1118" s="136" t="str">
        <f>IF($F$41=0,"",1)</f>
        <v/>
      </c>
    </row>
    <row r="1119" spans="1:10" ht="31.5">
      <c r="A1119" s="252" t="e">
        <f>IF(D1119=0,0,IF(D1117=0,IF(D1116=0,A1113+1,A1116+1),A1117+1))</f>
        <v>#N/A</v>
      </c>
      <c r="B1119" s="258" t="s">
        <v>206</v>
      </c>
      <c r="C1119" s="252" t="s">
        <v>156</v>
      </c>
      <c r="D1119" s="257" t="e">
        <f>SUM(VLOOKUP($F$41,'Анализ стоимости'!$A$4:$DK$59,46,0),D1116)</f>
        <v>#N/A</v>
      </c>
      <c r="E1119" s="136"/>
      <c r="J1119" s="136" t="e">
        <f t="shared" ref="J1119:J1125" si="153">IF(D1119=0,"",1)</f>
        <v>#N/A</v>
      </c>
    </row>
    <row r="1120" spans="1:10">
      <c r="A1120" s="252" t="e">
        <f>IF(D1120=0,0,A1119+1)</f>
        <v>#N/A</v>
      </c>
      <c r="B1120" s="258" t="s">
        <v>159</v>
      </c>
      <c r="C1120" s="252" t="s">
        <v>156</v>
      </c>
      <c r="D1120" s="257" t="e">
        <f>VLOOKUP($F$41,'Анализ стоимости'!$A$4:$DK$59,56,0)</f>
        <v>#N/A</v>
      </c>
      <c r="E1120" s="136"/>
      <c r="J1120" s="136" t="e">
        <f t="shared" si="153"/>
        <v>#N/A</v>
      </c>
    </row>
    <row r="1121" spans="1:10">
      <c r="A1121" s="252" t="e">
        <f>IF(D1121=0,0,A1120+1)</f>
        <v>#N/A</v>
      </c>
      <c r="B1121" s="258" t="s">
        <v>205</v>
      </c>
      <c r="C1121" s="252" t="s">
        <v>156</v>
      </c>
      <c r="D1121" s="257" t="e">
        <f>SUM(D1119:D1120)</f>
        <v>#N/A</v>
      </c>
      <c r="E1121" s="254" t="e">
        <f>VLOOKUP($F$41,'Анализ стоимости'!$A$4:$DK$59,76,0)</f>
        <v>#N/A</v>
      </c>
      <c r="J1121" s="136" t="e">
        <f t="shared" si="153"/>
        <v>#N/A</v>
      </c>
    </row>
    <row r="1122" spans="1:10" ht="31.5">
      <c r="A1122" s="252" t="e">
        <f>IF(D1122=0,0,IF(D1121=0,IF(D1117=0,A1113+1,A1117+1),A1121+1))</f>
        <v>#N/A</v>
      </c>
      <c r="B1122" s="258" t="s">
        <v>204</v>
      </c>
      <c r="C1122" s="252" t="s">
        <v>156</v>
      </c>
      <c r="D1122" s="257" t="e">
        <f>VLOOKUP($F$41,'Анализ стоимости'!$A$4:$DK$59,41,0)-VLOOKUP($F$41,'Анализ стоимости'!$A$4:$DK$59,46,0)+D1117</f>
        <v>#N/A</v>
      </c>
      <c r="J1122" s="136" t="e">
        <f t="shared" si="153"/>
        <v>#N/A</v>
      </c>
    </row>
    <row r="1123" spans="1:10">
      <c r="A1123" s="252" t="e">
        <f>IF(D1123=0,0,A1122+1)</f>
        <v>#N/A</v>
      </c>
      <c r="B1123" s="258" t="s">
        <v>159</v>
      </c>
      <c r="C1123" s="252" t="s">
        <v>156</v>
      </c>
      <c r="D1123" s="257" t="e">
        <f>VLOOKUP($F$41,'Анализ стоимости'!$A$4:$DK$59,66,0)</f>
        <v>#N/A</v>
      </c>
      <c r="J1123" s="136" t="e">
        <f t="shared" si="153"/>
        <v>#N/A</v>
      </c>
    </row>
    <row r="1124" spans="1:10">
      <c r="A1124" s="252" t="e">
        <f>IF(D1124=0,0,A1123+1)</f>
        <v>#N/A</v>
      </c>
      <c r="B1124" s="258" t="s">
        <v>203</v>
      </c>
      <c r="C1124" s="252" t="s">
        <v>156</v>
      </c>
      <c r="D1124" s="257" t="e">
        <f>SUM(D1122:D1123)</f>
        <v>#N/A</v>
      </c>
      <c r="E1124" s="254" t="e">
        <f>VLOOKUP($F$41,'Анализ стоимости'!$A$4:$DK$59,77,0)</f>
        <v>#N/A</v>
      </c>
      <c r="J1124" s="136" t="e">
        <f t="shared" si="153"/>
        <v>#N/A</v>
      </c>
    </row>
    <row r="1125" spans="1:10">
      <c r="A1125" s="252" t="e">
        <f>IF(D1125=0,0,A1124+1)</f>
        <v>#N/A</v>
      </c>
      <c r="B1125" s="258" t="s">
        <v>158</v>
      </c>
      <c r="C1125" s="252" t="s">
        <v>156</v>
      </c>
      <c r="D1125" s="257" t="e">
        <f>IF(OR(D1121=0,D1124=0),0,D1124+D1121)</f>
        <v>#N/A</v>
      </c>
      <c r="E1125" s="254" t="e">
        <f>VLOOKUP($F$41,'Анализ стоимости'!$A$4:$DK$59,67,0)</f>
        <v>#N/A</v>
      </c>
      <c r="J1125" s="136" t="e">
        <f t="shared" si="153"/>
        <v>#N/A</v>
      </c>
    </row>
    <row r="1126" spans="1:10">
      <c r="A1126" s="262"/>
      <c r="B1126" s="262"/>
      <c r="C1126" s="262"/>
      <c r="D1126" s="263"/>
      <c r="J1126" s="136" t="str">
        <f>IF($F$41=0,"",1)</f>
        <v/>
      </c>
    </row>
    <row r="1127" spans="1:10" ht="31.5" customHeight="1">
      <c r="A1127" s="289" t="str">
        <f>'Анализ стоимости'!M$52</f>
        <v>Заместитель главы Вышестеблиевского сельского поселения Темрюкского района</v>
      </c>
      <c r="B1127" s="290"/>
      <c r="C1127" s="264"/>
      <c r="D1127" s="265" t="str">
        <f>CONCATENATE("_____________________ ",'Анализ стоимости'!M$53)</f>
        <v>_____________________ Н.Д.Шевченко</v>
      </c>
      <c r="G1127" s="267" t="str">
        <f>A1127</f>
        <v>Заместитель главы Вышестеблиевского сельского поселения Темрюкского района</v>
      </c>
      <c r="J1127" s="136" t="str">
        <f>IF($F$12=0,"",1)</f>
        <v/>
      </c>
    </row>
    <row r="1128" spans="1:10" s="237" customFormat="1" ht="5.25">
      <c r="A1128" s="269"/>
      <c r="B1128" s="269"/>
      <c r="C1128" s="269"/>
      <c r="D1128" s="270"/>
      <c r="G1128" s="238"/>
      <c r="H1128" s="238"/>
      <c r="I1128" s="273"/>
      <c r="J1128" s="277" t="str">
        <f>IF($F$12=0,"",1)</f>
        <v/>
      </c>
    </row>
    <row r="1129" spans="1:10">
      <c r="A1129" s="291">
        <f ca="1">TODAY()</f>
        <v>41941</v>
      </c>
      <c r="B1129" s="291"/>
      <c r="C1129" s="224"/>
      <c r="D1129" s="224"/>
      <c r="J1129" s="136" t="str">
        <f>IF($F$41=0,"",1)</f>
        <v/>
      </c>
    </row>
    <row r="1130" spans="1:10">
      <c r="A1130" s="295" t="s">
        <v>237</v>
      </c>
      <c r="B1130" s="295"/>
      <c r="C1130" s="295"/>
      <c r="D1130" s="295"/>
      <c r="G1130" s="226"/>
      <c r="H1130" s="226"/>
      <c r="J1130" s="136" t="str">
        <f t="shared" ref="J1130:J1147" si="154">IF($F$42=0,"",1)</f>
        <v/>
      </c>
    </row>
    <row r="1131" spans="1:10">
      <c r="A1131" s="296" t="e">
        <f>CONCATENATE("Наименование объекта: ",VLOOKUP($F$42,'Анализ стоимости'!$A$4:$DK$59,11+2,0))</f>
        <v>#N/A</v>
      </c>
      <c r="B1131" s="296"/>
      <c r="C1131" s="296"/>
      <c r="D1131" s="296"/>
      <c r="I1131" s="276" t="e">
        <f>A1131</f>
        <v>#N/A</v>
      </c>
      <c r="J1131" s="136" t="str">
        <f t="shared" si="154"/>
        <v/>
      </c>
    </row>
    <row r="1132" spans="1:10" s="237" customFormat="1" ht="5.25">
      <c r="A1132" s="246"/>
      <c r="B1132" s="235"/>
      <c r="C1132" s="235"/>
      <c r="D1132" s="235"/>
      <c r="G1132" s="238"/>
      <c r="H1132" s="238"/>
      <c r="I1132" s="273"/>
      <c r="J1132" s="277" t="str">
        <f t="shared" si="154"/>
        <v/>
      </c>
    </row>
    <row r="1133" spans="1:10">
      <c r="A1133" s="248" t="s">
        <v>149</v>
      </c>
      <c r="B1133" s="241"/>
      <c r="C1133" s="241"/>
      <c r="D1133" s="241"/>
      <c r="J1133" s="136" t="str">
        <f t="shared" si="154"/>
        <v/>
      </c>
    </row>
    <row r="1134" spans="1:10">
      <c r="A1134" s="297" t="s">
        <v>150</v>
      </c>
      <c r="B1134" s="297"/>
      <c r="C1134" s="297"/>
      <c r="D1134" s="297"/>
      <c r="J1134" s="136" t="str">
        <f t="shared" si="154"/>
        <v/>
      </c>
    </row>
    <row r="1135" spans="1:10" ht="47.25" customHeight="1">
      <c r="A1135" s="249" t="s">
        <v>53</v>
      </c>
      <c r="B1135" s="249" t="s">
        <v>87</v>
      </c>
      <c r="C1135" s="298" t="e">
        <f>CONCATENATE("Стоимость  согласно сметной документации (руб.) в текущих ценах по состоянию на ",VLOOKUP($F$42,'Анализ стоимости'!$A$4:$BY$59,6+2,0)," г.")</f>
        <v>#N/A</v>
      </c>
      <c r="D1135" s="299"/>
      <c r="H1135" s="250" t="e">
        <f>C1135</f>
        <v>#N/A</v>
      </c>
      <c r="J1135" s="136" t="str">
        <f t="shared" si="154"/>
        <v/>
      </c>
    </row>
    <row r="1136" spans="1:10">
      <c r="A1136" s="252">
        <v>1</v>
      </c>
      <c r="B1136" s="253" t="s">
        <v>28</v>
      </c>
      <c r="C1136" s="292" t="e">
        <f>VLOOKUP($F$42,'Анализ стоимости'!$A$4:$BY$59,12+2,0)</f>
        <v>#N/A</v>
      </c>
      <c r="D1136" s="293"/>
      <c r="J1136" s="136" t="str">
        <f t="shared" si="154"/>
        <v/>
      </c>
    </row>
    <row r="1137" spans="1:10">
      <c r="A1137" s="252">
        <v>2</v>
      </c>
      <c r="B1137" s="253" t="s">
        <v>23</v>
      </c>
      <c r="C1137" s="292" t="e">
        <f>VLOOKUP($F$42,'Анализ стоимости'!$A$4:$DK$59,13+2,0)</f>
        <v>#N/A</v>
      </c>
      <c r="D1137" s="293"/>
      <c r="J1137" s="136" t="str">
        <f t="shared" si="154"/>
        <v/>
      </c>
    </row>
    <row r="1138" spans="1:10" ht="31.5">
      <c r="A1138" s="252">
        <v>3</v>
      </c>
      <c r="B1138" s="253" t="s">
        <v>2</v>
      </c>
      <c r="C1138" s="292" t="e">
        <f>VLOOKUP($F$42,'Анализ стоимости'!$A$4:$DK$59,14+2,0)</f>
        <v>#N/A</v>
      </c>
      <c r="D1138" s="293"/>
      <c r="J1138" s="136" t="str">
        <f t="shared" si="154"/>
        <v/>
      </c>
    </row>
    <row r="1139" spans="1:10">
      <c r="A1139" s="252">
        <v>4</v>
      </c>
      <c r="B1139" s="253" t="s">
        <v>24</v>
      </c>
      <c r="C1139" s="292" t="e">
        <f>VLOOKUP($F$42,'Анализ стоимости'!$A$4:$DK$59,15+2,0)</f>
        <v>#N/A</v>
      </c>
      <c r="D1139" s="293"/>
      <c r="J1139" s="136" t="str">
        <f t="shared" si="154"/>
        <v/>
      </c>
    </row>
    <row r="1140" spans="1:10">
      <c r="A1140" s="252">
        <v>5</v>
      </c>
      <c r="B1140" s="253" t="s">
        <v>5</v>
      </c>
      <c r="C1140" s="292" t="e">
        <f>VLOOKUP($F$42,'Анализ стоимости'!$A$4:$DK$59,16+2,0)</f>
        <v>#N/A</v>
      </c>
      <c r="D1140" s="293"/>
      <c r="J1140" s="136" t="str">
        <f t="shared" si="154"/>
        <v/>
      </c>
    </row>
    <row r="1141" spans="1:10">
      <c r="A1141" s="252">
        <v>6</v>
      </c>
      <c r="B1141" s="253" t="s">
        <v>10</v>
      </c>
      <c r="C1141" s="292" t="e">
        <f>VLOOKUP($F$42,'Анализ стоимости'!$A$4:$DK$59,20+2,0)</f>
        <v>#N/A</v>
      </c>
      <c r="D1141" s="293"/>
      <c r="J1141" s="136" t="str">
        <f t="shared" si="154"/>
        <v/>
      </c>
    </row>
    <row r="1142" spans="1:10">
      <c r="A1142" s="252">
        <v>7</v>
      </c>
      <c r="B1142" s="253" t="s">
        <v>79</v>
      </c>
      <c r="C1142" s="292" t="e">
        <f>VLOOKUP($F$42,'Анализ стоимости'!$A$4:$DK$59,21+2,0)+VLOOKUP($F$42,'Анализ стоимости'!$A$4:$DK$59,23+2,0)+VLOOKUP($F$42,'Анализ стоимости'!$A$4:$DK$59,24+2,0)+VLOOKUP($F$42,'Анализ стоимости'!$A$4:$DK$59,25+2,0)+VLOOKUP($F$42,'Анализ стоимости'!$A$4:$DK$59,26+2,0)+VLOOKUP($F$42,'Анализ стоимости'!$A$4:$DK$59,27+2,0)+VLOOKUP($F$42,'Анализ стоимости'!$A$4:$DK$59,28+2,0)+VLOOKUP($F$42,'Анализ стоимости'!$A$4:$DK$59,29+2,0)</f>
        <v>#N/A</v>
      </c>
      <c r="D1142" s="293"/>
      <c r="J1142" s="136" t="str">
        <f t="shared" si="154"/>
        <v/>
      </c>
    </row>
    <row r="1143" spans="1:10">
      <c r="A1143" s="252">
        <v>8</v>
      </c>
      <c r="B1143" s="253" t="s">
        <v>46</v>
      </c>
      <c r="C1143" s="292" t="e">
        <f>VLOOKUP($F$42,'Анализ стоимости'!$A$4:$DK$59,34+2,0)</f>
        <v>#N/A</v>
      </c>
      <c r="D1143" s="293"/>
      <c r="J1143" s="136" t="str">
        <f t="shared" si="154"/>
        <v/>
      </c>
    </row>
    <row r="1144" spans="1:10">
      <c r="A1144" s="252">
        <v>9</v>
      </c>
      <c r="B1144" s="253" t="s">
        <v>169</v>
      </c>
      <c r="C1144" s="292" t="e">
        <f>SUM(C1136:D1143)</f>
        <v>#N/A</v>
      </c>
      <c r="D1144" s="293"/>
      <c r="J1144" s="136" t="str">
        <f t="shared" si="154"/>
        <v/>
      </c>
    </row>
    <row r="1145" spans="1:10">
      <c r="A1145" s="294" t="s">
        <v>161</v>
      </c>
      <c r="B1145" s="294"/>
      <c r="C1145" s="294"/>
      <c r="D1145" s="294"/>
      <c r="J1145" s="136" t="str">
        <f t="shared" si="154"/>
        <v/>
      </c>
    </row>
    <row r="1146" spans="1:10" ht="31.5">
      <c r="A1146" s="255" t="s">
        <v>53</v>
      </c>
      <c r="B1146" s="249" t="s">
        <v>15</v>
      </c>
      <c r="C1146" s="249" t="s">
        <v>152</v>
      </c>
      <c r="D1146" s="249" t="s">
        <v>88</v>
      </c>
      <c r="J1146" s="136" t="str">
        <f t="shared" si="154"/>
        <v/>
      </c>
    </row>
    <row r="1147" spans="1:10">
      <c r="A1147" s="252">
        <v>10</v>
      </c>
      <c r="B1147" s="252" t="e">
        <f>VLOOKUP((VLOOKUP($F$42,'Анализ стоимости'!$A$4:$BY$59,12,0)),'Расчет инфляции'!$BD$5:$BE$22,2,0)</f>
        <v>#N/A</v>
      </c>
      <c r="C1147" s="252"/>
      <c r="D1147" s="253"/>
      <c r="J1147" s="136" t="str">
        <f t="shared" si="154"/>
        <v/>
      </c>
    </row>
    <row r="1148" spans="1:10">
      <c r="A1148" s="252" t="e">
        <f>IF(D1148=0,0,A1147+1)</f>
        <v>#N/A</v>
      </c>
      <c r="B1148" s="253" t="e">
        <f>CONCATENATE("2014 г. (",CHOOSE(VLOOKUP(F$42,'Анализ стоимости'!$A$4:$DK$90,68,0),"Январь","Февраль","Март","Апрель","Май","Июнь","Июль","Август","Сентябрь","Октябрь","Ноябрь","Декабрь")," - ",CHOOSE(VLOOKUP(F$42,'Анализ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148" s="252" t="s">
        <v>153</v>
      </c>
      <c r="D1148" s="278" t="e">
        <f>IF(D1150=0,0,VLOOKUP($F$42,'Анализ стоимости'!$A$4:$DK$59,74,0)*100+100)</f>
        <v>#N/A</v>
      </c>
      <c r="J1148" s="136" t="e">
        <f>IF(D1148=0,"",1)</f>
        <v>#N/A</v>
      </c>
    </row>
    <row r="1149" spans="1:10">
      <c r="A1149" s="252" t="e">
        <f>IF(D1149=0,0,IF(D1148=0,A1147+1,A1148+1))</f>
        <v>#N/A</v>
      </c>
      <c r="B1149" s="253" t="e">
        <f>CONCATENATE("2015 г. (",CHOOSE(VLOOKUP(F$42,'Анализ стоимости'!$A$4:$DK$90,70,0),"Январь","Февраль","Март","Апрель","Май","Июнь","Июль","Август","Сентябрь","Октябрь","Ноябрь","Декабрь")," - ",CHOOSE(VLOOKUP(F$42,'Анализ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149" s="252" t="s">
        <v>153</v>
      </c>
      <c r="D1149" s="278" t="e">
        <f>IF(D1151=0,0,VLOOKUP($F$42,'Анализ стоимости'!$A$4:$DK$59,75,0)*100+100)</f>
        <v>#N/A</v>
      </c>
      <c r="J1149" s="136" t="e">
        <f t="shared" ref="J1149:J1150" si="155">IF(D1149=0,"",1)</f>
        <v>#N/A</v>
      </c>
    </row>
    <row r="1150" spans="1:10">
      <c r="A1150" s="252" t="e">
        <f>IF(D1150=0,0,IF(D1149=0,A1148+1,A1149+1))</f>
        <v>#N/A</v>
      </c>
      <c r="B1150" s="253" t="s">
        <v>154</v>
      </c>
      <c r="C1150" s="252" t="s">
        <v>156</v>
      </c>
      <c r="D1150" s="257" t="e">
        <f>VLOOKUP($F$42,'Анализ стоимости'!$A$4:$DK$59,51,0)</f>
        <v>#N/A</v>
      </c>
      <c r="J1150" s="136" t="e">
        <f t="shared" si="155"/>
        <v>#N/A</v>
      </c>
    </row>
    <row r="1151" spans="1:10">
      <c r="A1151" s="252" t="e">
        <f>IF(D1151=0,0,IF(D1150=0,A1149+1,A1150+1))</f>
        <v>#N/A</v>
      </c>
      <c r="B1151" s="253" t="s">
        <v>155</v>
      </c>
      <c r="C1151" s="252" t="s">
        <v>156</v>
      </c>
      <c r="D1151" s="257" t="e">
        <f>VLOOKUP($F$42,'Анализ стоимости'!$A$4:$DK$59,61,0)</f>
        <v>#N/A</v>
      </c>
      <c r="J1151" s="136" t="e">
        <f>IF(D1151=0,"",1)</f>
        <v>#N/A</v>
      </c>
    </row>
    <row r="1152" spans="1:10">
      <c r="A1152" s="294" t="s">
        <v>157</v>
      </c>
      <c r="B1152" s="294"/>
      <c r="C1152" s="294"/>
      <c r="D1152" s="294"/>
      <c r="J1152" s="136" t="str">
        <f>IF($F$42=0,"",1)</f>
        <v/>
      </c>
    </row>
    <row r="1153" spans="1:10" ht="31.5">
      <c r="A1153" s="252" t="e">
        <f>IF(D1153=0,0,IF(D1151=0,IF(D1150=0,A1147+1,A1150+1),A1151+1))</f>
        <v>#N/A</v>
      </c>
      <c r="B1153" s="258" t="s">
        <v>206</v>
      </c>
      <c r="C1153" s="252" t="s">
        <v>156</v>
      </c>
      <c r="D1153" s="257" t="e">
        <f>SUM(VLOOKUP($F$42,'Анализ стоимости'!$A$4:$DK$59,46,0),D1150)</f>
        <v>#N/A</v>
      </c>
      <c r="E1153" s="136"/>
      <c r="J1153" s="136" t="e">
        <f t="shared" ref="J1153:J1159" si="156">IF(D1153=0,"",1)</f>
        <v>#N/A</v>
      </c>
    </row>
    <row r="1154" spans="1:10">
      <c r="A1154" s="252" t="e">
        <f>IF(D1154=0,0,A1153+1)</f>
        <v>#N/A</v>
      </c>
      <c r="B1154" s="258" t="s">
        <v>159</v>
      </c>
      <c r="C1154" s="252" t="s">
        <v>156</v>
      </c>
      <c r="D1154" s="257" t="e">
        <f>VLOOKUP($F$42,'Анализ стоимости'!$A$4:$DK$59,56,0)</f>
        <v>#N/A</v>
      </c>
      <c r="E1154" s="136"/>
      <c r="J1154" s="136" t="e">
        <f t="shared" si="156"/>
        <v>#N/A</v>
      </c>
    </row>
    <row r="1155" spans="1:10">
      <c r="A1155" s="252" t="e">
        <f>IF(D1155=0,0,A1154+1)</f>
        <v>#N/A</v>
      </c>
      <c r="B1155" s="258" t="s">
        <v>205</v>
      </c>
      <c r="C1155" s="252" t="s">
        <v>156</v>
      </c>
      <c r="D1155" s="257" t="e">
        <f>SUM(D1153:D1154)</f>
        <v>#N/A</v>
      </c>
      <c r="E1155" s="254" t="e">
        <f>VLOOKUP($F$42,'Анализ стоимости'!$A$4:$DK$59,76,0)</f>
        <v>#N/A</v>
      </c>
      <c r="J1155" s="136" t="e">
        <f t="shared" si="156"/>
        <v>#N/A</v>
      </c>
    </row>
    <row r="1156" spans="1:10" ht="31.5">
      <c r="A1156" s="252" t="e">
        <f>IF(D1156=0,0,IF(D1155=0,IF(D1151=0,A1147+1,A1151+1),A1155+1))</f>
        <v>#N/A</v>
      </c>
      <c r="B1156" s="258" t="s">
        <v>204</v>
      </c>
      <c r="C1156" s="252" t="s">
        <v>156</v>
      </c>
      <c r="D1156" s="257" t="e">
        <f>VLOOKUP($F$42,'Анализ стоимости'!$A$4:$DK$59,41,0)-VLOOKUP($F$42,'Анализ стоимости'!$A$4:$DK$59,46,0)+D1151</f>
        <v>#N/A</v>
      </c>
      <c r="J1156" s="136" t="e">
        <f t="shared" si="156"/>
        <v>#N/A</v>
      </c>
    </row>
    <row r="1157" spans="1:10">
      <c r="A1157" s="252" t="e">
        <f>IF(D1157=0,0,A1156+1)</f>
        <v>#N/A</v>
      </c>
      <c r="B1157" s="258" t="s">
        <v>159</v>
      </c>
      <c r="C1157" s="252" t="s">
        <v>156</v>
      </c>
      <c r="D1157" s="257" t="e">
        <f>VLOOKUP($F$42,'Анализ стоимости'!$A$4:$DK$59,66,0)</f>
        <v>#N/A</v>
      </c>
      <c r="J1157" s="136" t="e">
        <f t="shared" si="156"/>
        <v>#N/A</v>
      </c>
    </row>
    <row r="1158" spans="1:10">
      <c r="A1158" s="252" t="e">
        <f>IF(D1158=0,0,A1157+1)</f>
        <v>#N/A</v>
      </c>
      <c r="B1158" s="258" t="s">
        <v>203</v>
      </c>
      <c r="C1158" s="252" t="s">
        <v>156</v>
      </c>
      <c r="D1158" s="257" t="e">
        <f>SUM(D1156:D1157)</f>
        <v>#N/A</v>
      </c>
      <c r="E1158" s="254" t="e">
        <f>VLOOKUP($F$42,'Анализ стоимости'!$A$4:$DK$59,77,0)</f>
        <v>#N/A</v>
      </c>
      <c r="J1158" s="136" t="e">
        <f t="shared" si="156"/>
        <v>#N/A</v>
      </c>
    </row>
    <row r="1159" spans="1:10">
      <c r="A1159" s="252" t="e">
        <f>IF(D1159=0,0,A1158+1)</f>
        <v>#N/A</v>
      </c>
      <c r="B1159" s="258" t="s">
        <v>158</v>
      </c>
      <c r="C1159" s="252" t="s">
        <v>156</v>
      </c>
      <c r="D1159" s="257" t="e">
        <f>IF(OR(D1155=0,D1158=0),0,D1158+D1155)</f>
        <v>#N/A</v>
      </c>
      <c r="E1159" s="254" t="e">
        <f>VLOOKUP($F$42,'Анализ стоимости'!$A$4:$DK$59,67,0)</f>
        <v>#N/A</v>
      </c>
      <c r="J1159" s="136" t="e">
        <f t="shared" si="156"/>
        <v>#N/A</v>
      </c>
    </row>
    <row r="1160" spans="1:10">
      <c r="A1160" s="262"/>
      <c r="B1160" s="262"/>
      <c r="C1160" s="262"/>
      <c r="D1160" s="263"/>
      <c r="J1160" s="136" t="str">
        <f>IF($F$42=0,"",1)</f>
        <v/>
      </c>
    </row>
    <row r="1161" spans="1:10" ht="31.5" customHeight="1">
      <c r="A1161" s="289" t="str">
        <f>'Анализ стоимости'!M$52</f>
        <v>Заместитель главы Вышестеблиевского сельского поселения Темрюкского района</v>
      </c>
      <c r="B1161" s="290"/>
      <c r="C1161" s="264"/>
      <c r="D1161" s="265" t="str">
        <f>CONCATENATE("_____________________ ",'Анализ стоимости'!M$53)</f>
        <v>_____________________ Н.Д.Шевченко</v>
      </c>
      <c r="G1161" s="267" t="str">
        <f>A1161</f>
        <v>Заместитель главы Вышестеблиевского сельского поселения Темрюкского района</v>
      </c>
      <c r="J1161" s="136" t="str">
        <f>IF($F$12=0,"",1)</f>
        <v/>
      </c>
    </row>
    <row r="1162" spans="1:10" s="237" customFormat="1" ht="5.25">
      <c r="A1162" s="269"/>
      <c r="B1162" s="269"/>
      <c r="C1162" s="269"/>
      <c r="D1162" s="270"/>
      <c r="G1162" s="238"/>
      <c r="H1162" s="238"/>
      <c r="I1162" s="273"/>
      <c r="J1162" s="277" t="str">
        <f>IF($F$12=0,"",1)</f>
        <v/>
      </c>
    </row>
    <row r="1163" spans="1:10">
      <c r="A1163" s="291">
        <f ca="1">TODAY()</f>
        <v>41941</v>
      </c>
      <c r="B1163" s="291"/>
      <c r="C1163" s="224"/>
      <c r="D1163" s="224"/>
      <c r="J1163" s="136" t="str">
        <f>IF($F$42=0,"",1)</f>
        <v/>
      </c>
    </row>
    <row r="1164" spans="1:10">
      <c r="A1164" s="295" t="s">
        <v>238</v>
      </c>
      <c r="B1164" s="295"/>
      <c r="C1164" s="295"/>
      <c r="D1164" s="295"/>
      <c r="G1164" s="226"/>
      <c r="H1164" s="226"/>
      <c r="J1164" s="136" t="str">
        <f t="shared" ref="J1164:J1181" si="157">IF($F$43=0,"",1)</f>
        <v/>
      </c>
    </row>
    <row r="1165" spans="1:10">
      <c r="A1165" s="296" t="e">
        <f>CONCATENATE("Наименование объекта: ",VLOOKUP($F$43,'Анализ стоимости'!$A$4:$DK$59,11+2,0))</f>
        <v>#N/A</v>
      </c>
      <c r="B1165" s="296"/>
      <c r="C1165" s="296"/>
      <c r="D1165" s="296"/>
      <c r="I1165" s="276" t="e">
        <f>A1165</f>
        <v>#N/A</v>
      </c>
      <c r="J1165" s="136" t="str">
        <f t="shared" si="157"/>
        <v/>
      </c>
    </row>
    <row r="1166" spans="1:10" s="237" customFormat="1" ht="5.25">
      <c r="A1166" s="246"/>
      <c r="B1166" s="235"/>
      <c r="C1166" s="235"/>
      <c r="D1166" s="235"/>
      <c r="G1166" s="238"/>
      <c r="H1166" s="238"/>
      <c r="I1166" s="273"/>
      <c r="J1166" s="277" t="str">
        <f t="shared" si="157"/>
        <v/>
      </c>
    </row>
    <row r="1167" spans="1:10">
      <c r="A1167" s="248" t="s">
        <v>149</v>
      </c>
      <c r="B1167" s="241"/>
      <c r="C1167" s="241"/>
      <c r="D1167" s="241"/>
      <c r="J1167" s="136" t="str">
        <f t="shared" si="157"/>
        <v/>
      </c>
    </row>
    <row r="1168" spans="1:10">
      <c r="A1168" s="297" t="s">
        <v>150</v>
      </c>
      <c r="B1168" s="297"/>
      <c r="C1168" s="297"/>
      <c r="D1168" s="297"/>
      <c r="J1168" s="136" t="str">
        <f t="shared" si="157"/>
        <v/>
      </c>
    </row>
    <row r="1169" spans="1:10" ht="47.25" customHeight="1">
      <c r="A1169" s="249" t="s">
        <v>53</v>
      </c>
      <c r="B1169" s="249" t="s">
        <v>87</v>
      </c>
      <c r="C1169" s="298" t="e">
        <f>CONCATENATE("Стоимость  согласно сметной документации (руб.) в текущих ценах по состоянию на ",VLOOKUP($F$43,'Анализ стоимости'!$A$4:$BY$59,6+2,0)," г.")</f>
        <v>#N/A</v>
      </c>
      <c r="D1169" s="299"/>
      <c r="H1169" s="250" t="e">
        <f>C1169</f>
        <v>#N/A</v>
      </c>
      <c r="J1169" s="136" t="str">
        <f t="shared" si="157"/>
        <v/>
      </c>
    </row>
    <row r="1170" spans="1:10">
      <c r="A1170" s="252">
        <v>1</v>
      </c>
      <c r="B1170" s="253" t="s">
        <v>28</v>
      </c>
      <c r="C1170" s="292" t="e">
        <f>VLOOKUP($F$43,'Анализ стоимости'!$A$4:$BY$59,12+2,0)</f>
        <v>#N/A</v>
      </c>
      <c r="D1170" s="293"/>
      <c r="J1170" s="136" t="str">
        <f t="shared" si="157"/>
        <v/>
      </c>
    </row>
    <row r="1171" spans="1:10">
      <c r="A1171" s="252">
        <v>2</v>
      </c>
      <c r="B1171" s="253" t="s">
        <v>23</v>
      </c>
      <c r="C1171" s="292" t="e">
        <f>VLOOKUP($F$43,'Анализ стоимости'!$A$4:$DK$59,13+2,0)</f>
        <v>#N/A</v>
      </c>
      <c r="D1171" s="293"/>
      <c r="J1171" s="136" t="str">
        <f t="shared" si="157"/>
        <v/>
      </c>
    </row>
    <row r="1172" spans="1:10" ht="31.5">
      <c r="A1172" s="252">
        <v>3</v>
      </c>
      <c r="B1172" s="253" t="s">
        <v>2</v>
      </c>
      <c r="C1172" s="292" t="e">
        <f>VLOOKUP($F$43,'Анализ стоимости'!$A$4:$DK$59,14+2,0)</f>
        <v>#N/A</v>
      </c>
      <c r="D1172" s="293"/>
      <c r="J1172" s="136" t="str">
        <f t="shared" si="157"/>
        <v/>
      </c>
    </row>
    <row r="1173" spans="1:10">
      <c r="A1173" s="252">
        <v>4</v>
      </c>
      <c r="B1173" s="253" t="s">
        <v>24</v>
      </c>
      <c r="C1173" s="292" t="e">
        <f>VLOOKUP($F$43,'Анализ стоимости'!$A$4:$DK$59,15+2,0)</f>
        <v>#N/A</v>
      </c>
      <c r="D1173" s="293"/>
      <c r="J1173" s="136" t="str">
        <f t="shared" si="157"/>
        <v/>
      </c>
    </row>
    <row r="1174" spans="1:10">
      <c r="A1174" s="252">
        <v>5</v>
      </c>
      <c r="B1174" s="253" t="s">
        <v>5</v>
      </c>
      <c r="C1174" s="292" t="e">
        <f>VLOOKUP($F$43,'Анализ стоимости'!$A$4:$DK$59,16+2,0)</f>
        <v>#N/A</v>
      </c>
      <c r="D1174" s="293"/>
      <c r="J1174" s="136" t="str">
        <f t="shared" si="157"/>
        <v/>
      </c>
    </row>
    <row r="1175" spans="1:10">
      <c r="A1175" s="252">
        <v>6</v>
      </c>
      <c r="B1175" s="253" t="s">
        <v>10</v>
      </c>
      <c r="C1175" s="292" t="e">
        <f>VLOOKUP($F$43,'Анализ стоимости'!$A$4:$DK$59,20+2,0)</f>
        <v>#N/A</v>
      </c>
      <c r="D1175" s="293"/>
      <c r="J1175" s="136" t="str">
        <f t="shared" si="157"/>
        <v/>
      </c>
    </row>
    <row r="1176" spans="1:10">
      <c r="A1176" s="252">
        <v>7</v>
      </c>
      <c r="B1176" s="253" t="s">
        <v>79</v>
      </c>
      <c r="C1176" s="292" t="e">
        <f>VLOOKUP($F$43,'Анализ стоимости'!$A$4:$DK$59,21+2,0)+VLOOKUP($F$43,'Анализ стоимости'!$A$4:$DK$59,23+2,0)+VLOOKUP($F$43,'Анализ стоимости'!$A$4:$DK$59,24+2,0)+VLOOKUP($F$43,'Анализ стоимости'!$A$4:$DK$59,25+2,0)+VLOOKUP($F$43,'Анализ стоимости'!$A$4:$DK$59,26+2,0)+VLOOKUP($F$43,'Анализ стоимости'!$A$4:$DK$59,27+2,0)+VLOOKUP($F$43,'Анализ стоимости'!$A$4:$DK$59,28+2,0)+VLOOKUP($F$43,'Анализ стоимости'!$A$4:$DK$59,29+2,0)</f>
        <v>#N/A</v>
      </c>
      <c r="D1176" s="293"/>
      <c r="J1176" s="136" t="str">
        <f t="shared" si="157"/>
        <v/>
      </c>
    </row>
    <row r="1177" spans="1:10">
      <c r="A1177" s="252">
        <v>8</v>
      </c>
      <c r="B1177" s="253" t="s">
        <v>46</v>
      </c>
      <c r="C1177" s="292" t="e">
        <f>VLOOKUP($F$43,'Анализ стоимости'!$A$4:$DK$59,34+2,0)</f>
        <v>#N/A</v>
      </c>
      <c r="D1177" s="293"/>
      <c r="J1177" s="136" t="str">
        <f t="shared" si="157"/>
        <v/>
      </c>
    </row>
    <row r="1178" spans="1:10">
      <c r="A1178" s="252">
        <v>9</v>
      </c>
      <c r="B1178" s="253" t="s">
        <v>169</v>
      </c>
      <c r="C1178" s="292" t="e">
        <f>SUM(C1170:D1177)</f>
        <v>#N/A</v>
      </c>
      <c r="D1178" s="293"/>
      <c r="J1178" s="136" t="str">
        <f t="shared" si="157"/>
        <v/>
      </c>
    </row>
    <row r="1179" spans="1:10">
      <c r="A1179" s="294" t="s">
        <v>161</v>
      </c>
      <c r="B1179" s="294"/>
      <c r="C1179" s="294"/>
      <c r="D1179" s="294"/>
      <c r="J1179" s="136" t="str">
        <f t="shared" si="157"/>
        <v/>
      </c>
    </row>
    <row r="1180" spans="1:10" ht="31.5">
      <c r="A1180" s="255" t="s">
        <v>53</v>
      </c>
      <c r="B1180" s="249" t="s">
        <v>15</v>
      </c>
      <c r="C1180" s="249" t="s">
        <v>152</v>
      </c>
      <c r="D1180" s="249" t="s">
        <v>88</v>
      </c>
      <c r="J1180" s="136" t="str">
        <f t="shared" si="157"/>
        <v/>
      </c>
    </row>
    <row r="1181" spans="1:10">
      <c r="A1181" s="252">
        <v>10</v>
      </c>
      <c r="B1181" s="252" t="e">
        <f>VLOOKUP((VLOOKUP($F$43,'Анализ стоимости'!$A$4:$BY$59,12,0)),'Расчет инфляции'!$BD$5:$BE$22,2,0)</f>
        <v>#N/A</v>
      </c>
      <c r="C1181" s="252"/>
      <c r="D1181" s="253"/>
      <c r="J1181" s="136" t="str">
        <f t="shared" si="157"/>
        <v/>
      </c>
    </row>
    <row r="1182" spans="1:10">
      <c r="A1182" s="252" t="e">
        <f>IF(D1182=0,0,A1181+1)</f>
        <v>#N/A</v>
      </c>
      <c r="B1182" s="253" t="e">
        <f>CONCATENATE("2014 г. (",CHOOSE(VLOOKUP(F$43,'Анализ стоимости'!$A$4:$DK$90,68,0),"Январь","Февраль","Март","Апрель","Май","Июнь","Июль","Август","Сентябрь","Октябрь","Ноябрь","Декабрь")," - ",CHOOSE(VLOOKUP(F$43,'Анализ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182" s="252" t="s">
        <v>153</v>
      </c>
      <c r="D1182" s="278" t="e">
        <f>IF(D1184=0,0,VLOOKUP($F$43,'Анализ стоимости'!$A$4:$DK$59,74,0)*100+100)</f>
        <v>#N/A</v>
      </c>
      <c r="J1182" s="136" t="e">
        <f>IF(D1182=0,"",1)</f>
        <v>#N/A</v>
      </c>
    </row>
    <row r="1183" spans="1:10">
      <c r="A1183" s="252" t="e">
        <f>IF(D1183=0,0,IF(D1182=0,A1181+1,A1182+1))</f>
        <v>#N/A</v>
      </c>
      <c r="B1183" s="253" t="e">
        <f>CONCATENATE("2015 г. (",CHOOSE(VLOOKUP(F$43,'Анализ стоимости'!$A$4:$DK$90,70,0),"Январь","Февраль","Март","Апрель","Май","Июнь","Июль","Август","Сентябрь","Октябрь","Ноябрь","Декабрь")," - ",CHOOSE(VLOOKUP(F$43,'Анализ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183" s="252" t="s">
        <v>153</v>
      </c>
      <c r="D1183" s="278" t="e">
        <f>IF(D1185=0,0,VLOOKUP($F$43,'Анализ стоимости'!$A$4:$DK$59,75,0)*100+100)</f>
        <v>#N/A</v>
      </c>
      <c r="J1183" s="136" t="e">
        <f t="shared" ref="J1183:J1184" si="158">IF(D1183=0,"",1)</f>
        <v>#N/A</v>
      </c>
    </row>
    <row r="1184" spans="1:10">
      <c r="A1184" s="252" t="e">
        <f>IF(D1184=0,0,IF(D1183=0,A1182+1,A1183+1))</f>
        <v>#N/A</v>
      </c>
      <c r="B1184" s="253" t="s">
        <v>154</v>
      </c>
      <c r="C1184" s="252" t="s">
        <v>156</v>
      </c>
      <c r="D1184" s="257" t="e">
        <f>VLOOKUP($F$43,'Анализ стоимости'!$A$4:$DK$59,51,0)</f>
        <v>#N/A</v>
      </c>
      <c r="J1184" s="136" t="e">
        <f t="shared" si="158"/>
        <v>#N/A</v>
      </c>
    </row>
    <row r="1185" spans="1:10">
      <c r="A1185" s="252" t="e">
        <f>IF(D1185=0,0,IF(D1184=0,A1183+1,A1184+1))</f>
        <v>#N/A</v>
      </c>
      <c r="B1185" s="253" t="s">
        <v>155</v>
      </c>
      <c r="C1185" s="252" t="s">
        <v>156</v>
      </c>
      <c r="D1185" s="257" t="e">
        <f>VLOOKUP($F$43,'Анализ стоимости'!$A$4:$DK$59,61,0)</f>
        <v>#N/A</v>
      </c>
      <c r="J1185" s="136" t="e">
        <f>IF(D1185=0,"",1)</f>
        <v>#N/A</v>
      </c>
    </row>
    <row r="1186" spans="1:10">
      <c r="A1186" s="294" t="s">
        <v>157</v>
      </c>
      <c r="B1186" s="294"/>
      <c r="C1186" s="294"/>
      <c r="D1186" s="294"/>
      <c r="J1186" s="136" t="str">
        <f>IF($F$43=0,"",1)</f>
        <v/>
      </c>
    </row>
    <row r="1187" spans="1:10" ht="31.5">
      <c r="A1187" s="252" t="e">
        <f>IF(D1187=0,0,IF(D1185=0,IF(D1184=0,A1181+1,A1184+1),A1185+1))</f>
        <v>#N/A</v>
      </c>
      <c r="B1187" s="258" t="s">
        <v>206</v>
      </c>
      <c r="C1187" s="252" t="s">
        <v>156</v>
      </c>
      <c r="D1187" s="257" t="e">
        <f>SUM(VLOOKUP($F$43,'Анализ стоимости'!$A$4:$DK$59,46,0),D1184)</f>
        <v>#N/A</v>
      </c>
      <c r="E1187" s="136"/>
      <c r="J1187" s="136" t="e">
        <f t="shared" ref="J1187:J1193" si="159">IF(D1187=0,"",1)</f>
        <v>#N/A</v>
      </c>
    </row>
    <row r="1188" spans="1:10">
      <c r="A1188" s="252" t="e">
        <f>IF(D1188=0,0,A1187+1)</f>
        <v>#N/A</v>
      </c>
      <c r="B1188" s="258" t="s">
        <v>159</v>
      </c>
      <c r="C1188" s="252" t="s">
        <v>156</v>
      </c>
      <c r="D1188" s="257" t="e">
        <f>VLOOKUP($F$43,'Анализ стоимости'!$A$4:$DK$59,56,0)</f>
        <v>#N/A</v>
      </c>
      <c r="E1188" s="136"/>
      <c r="J1188" s="136" t="e">
        <f t="shared" si="159"/>
        <v>#N/A</v>
      </c>
    </row>
    <row r="1189" spans="1:10">
      <c r="A1189" s="252" t="e">
        <f>IF(D1189=0,0,A1188+1)</f>
        <v>#N/A</v>
      </c>
      <c r="B1189" s="258" t="s">
        <v>205</v>
      </c>
      <c r="C1189" s="252" t="s">
        <v>156</v>
      </c>
      <c r="D1189" s="257" t="e">
        <f>SUM(D1187:D1188)</f>
        <v>#N/A</v>
      </c>
      <c r="E1189" s="254" t="e">
        <f>VLOOKUP($F$43,'Анализ стоимости'!$A$4:$DK$59,76,0)</f>
        <v>#N/A</v>
      </c>
      <c r="J1189" s="136" t="e">
        <f t="shared" si="159"/>
        <v>#N/A</v>
      </c>
    </row>
    <row r="1190" spans="1:10" ht="31.5">
      <c r="A1190" s="252" t="e">
        <f>IF(D1190=0,0,IF(D1189=0,IF(D1185=0,A1181+1,A1185+1),A1189+1))</f>
        <v>#N/A</v>
      </c>
      <c r="B1190" s="258" t="s">
        <v>204</v>
      </c>
      <c r="C1190" s="252" t="s">
        <v>156</v>
      </c>
      <c r="D1190" s="257" t="e">
        <f>VLOOKUP($F$43,'Анализ стоимости'!$A$4:$DK$59,41,0)-VLOOKUP($F$43,'Анализ стоимости'!$A$4:$DK$59,46,0)+D1185</f>
        <v>#N/A</v>
      </c>
      <c r="J1190" s="136" t="e">
        <f t="shared" si="159"/>
        <v>#N/A</v>
      </c>
    </row>
    <row r="1191" spans="1:10">
      <c r="A1191" s="252" t="e">
        <f>IF(D1191=0,0,A1190+1)</f>
        <v>#N/A</v>
      </c>
      <c r="B1191" s="258" t="s">
        <v>159</v>
      </c>
      <c r="C1191" s="252" t="s">
        <v>156</v>
      </c>
      <c r="D1191" s="257" t="e">
        <f>VLOOKUP($F$43,'Анализ стоимости'!$A$4:$DK$59,66,0)</f>
        <v>#N/A</v>
      </c>
      <c r="J1191" s="136" t="e">
        <f t="shared" si="159"/>
        <v>#N/A</v>
      </c>
    </row>
    <row r="1192" spans="1:10">
      <c r="A1192" s="252" t="e">
        <f>IF(D1192=0,0,A1191+1)</f>
        <v>#N/A</v>
      </c>
      <c r="B1192" s="258" t="s">
        <v>203</v>
      </c>
      <c r="C1192" s="252" t="s">
        <v>156</v>
      </c>
      <c r="D1192" s="257" t="e">
        <f>SUM(D1190:D1191)</f>
        <v>#N/A</v>
      </c>
      <c r="E1192" s="254" t="e">
        <f>VLOOKUP($F$43,'Анализ стоимости'!$A$4:$DK$59,77,0)</f>
        <v>#N/A</v>
      </c>
      <c r="J1192" s="136" t="e">
        <f t="shared" si="159"/>
        <v>#N/A</v>
      </c>
    </row>
    <row r="1193" spans="1:10">
      <c r="A1193" s="252" t="e">
        <f>IF(D1193=0,0,A1192+1)</f>
        <v>#N/A</v>
      </c>
      <c r="B1193" s="258" t="s">
        <v>158</v>
      </c>
      <c r="C1193" s="252" t="s">
        <v>156</v>
      </c>
      <c r="D1193" s="257" t="e">
        <f>IF(OR(D1189=0,D1192=0),0,D1192+D1189)</f>
        <v>#N/A</v>
      </c>
      <c r="E1193" s="254" t="e">
        <f>VLOOKUP($F$43,'Анализ стоимости'!$A$4:$DK$59,67,0)</f>
        <v>#N/A</v>
      </c>
      <c r="J1193" s="136" t="e">
        <f t="shared" si="159"/>
        <v>#N/A</v>
      </c>
    </row>
    <row r="1194" spans="1:10">
      <c r="A1194" s="262"/>
      <c r="B1194" s="262"/>
      <c r="C1194" s="262"/>
      <c r="D1194" s="263"/>
      <c r="J1194" s="136" t="str">
        <f>IF($F$43=0,"",1)</f>
        <v/>
      </c>
    </row>
    <row r="1195" spans="1:10" ht="31.5" customHeight="1">
      <c r="A1195" s="289" t="str">
        <f>'Анализ стоимости'!M$52</f>
        <v>Заместитель главы Вышестеблиевского сельского поселения Темрюкского района</v>
      </c>
      <c r="B1195" s="290"/>
      <c r="C1195" s="264"/>
      <c r="D1195" s="265" t="str">
        <f>CONCATENATE("_____________________ ",'Анализ стоимости'!M$53)</f>
        <v>_____________________ Н.Д.Шевченко</v>
      </c>
      <c r="G1195" s="267" t="str">
        <f>A1195</f>
        <v>Заместитель главы Вышестеблиевского сельского поселения Темрюкского района</v>
      </c>
      <c r="J1195" s="136" t="str">
        <f>IF($F$12=0,"",1)</f>
        <v/>
      </c>
    </row>
    <row r="1196" spans="1:10" s="237" customFormat="1" ht="5.25">
      <c r="A1196" s="269"/>
      <c r="B1196" s="269"/>
      <c r="C1196" s="269"/>
      <c r="D1196" s="270"/>
      <c r="G1196" s="238"/>
      <c r="H1196" s="238"/>
      <c r="I1196" s="273"/>
      <c r="J1196" s="277" t="str">
        <f>IF($F$12=0,"",1)</f>
        <v/>
      </c>
    </row>
    <row r="1197" spans="1:10">
      <c r="A1197" s="291">
        <f ca="1">TODAY()</f>
        <v>41941</v>
      </c>
      <c r="B1197" s="291"/>
      <c r="C1197" s="224"/>
      <c r="D1197" s="224"/>
      <c r="J1197" s="136" t="str">
        <f>IF($F$43=0,"",1)</f>
        <v/>
      </c>
    </row>
    <row r="1198" spans="1:10">
      <c r="A1198" s="295" t="s">
        <v>239</v>
      </c>
      <c r="B1198" s="295"/>
      <c r="C1198" s="295"/>
      <c r="D1198" s="295"/>
      <c r="G1198" s="226"/>
      <c r="H1198" s="226"/>
      <c r="J1198" s="136" t="str">
        <f t="shared" ref="J1198:J1215" si="160">IF($F$44=0,"",1)</f>
        <v/>
      </c>
    </row>
    <row r="1199" spans="1:10">
      <c r="A1199" s="296" t="e">
        <f>CONCATENATE("Наименование объекта: ",VLOOKUP($F$44,'Анализ стоимости'!$A$4:$DK$59,11+2,0))</f>
        <v>#N/A</v>
      </c>
      <c r="B1199" s="296"/>
      <c r="C1199" s="296"/>
      <c r="D1199" s="296"/>
      <c r="I1199" s="276" t="e">
        <f>A1199</f>
        <v>#N/A</v>
      </c>
      <c r="J1199" s="136" t="str">
        <f t="shared" si="160"/>
        <v/>
      </c>
    </row>
    <row r="1200" spans="1:10" s="237" customFormat="1" ht="5.25">
      <c r="A1200" s="246"/>
      <c r="B1200" s="235"/>
      <c r="C1200" s="235"/>
      <c r="D1200" s="235"/>
      <c r="G1200" s="238"/>
      <c r="H1200" s="238"/>
      <c r="I1200" s="273"/>
      <c r="J1200" s="277" t="str">
        <f t="shared" si="160"/>
        <v/>
      </c>
    </row>
    <row r="1201" spans="1:10">
      <c r="A1201" s="248" t="s">
        <v>149</v>
      </c>
      <c r="B1201" s="241"/>
      <c r="C1201" s="241"/>
      <c r="D1201" s="241"/>
      <c r="J1201" s="136" t="str">
        <f t="shared" si="160"/>
        <v/>
      </c>
    </row>
    <row r="1202" spans="1:10">
      <c r="A1202" s="297" t="s">
        <v>150</v>
      </c>
      <c r="B1202" s="297"/>
      <c r="C1202" s="297"/>
      <c r="D1202" s="297"/>
      <c r="J1202" s="136" t="str">
        <f t="shared" si="160"/>
        <v/>
      </c>
    </row>
    <row r="1203" spans="1:10" ht="47.25" customHeight="1">
      <c r="A1203" s="249" t="s">
        <v>53</v>
      </c>
      <c r="B1203" s="249" t="s">
        <v>87</v>
      </c>
      <c r="C1203" s="298" t="e">
        <f>CONCATENATE("Стоимость  согласно сметной документации (руб.) в текущих ценах по состоянию на ",VLOOKUP($F$44,'Анализ стоимости'!$A$4:$BY$59,6+2,0)," г.")</f>
        <v>#N/A</v>
      </c>
      <c r="D1203" s="299"/>
      <c r="H1203" s="250" t="e">
        <f>C1203</f>
        <v>#N/A</v>
      </c>
      <c r="J1203" s="136" t="str">
        <f t="shared" si="160"/>
        <v/>
      </c>
    </row>
    <row r="1204" spans="1:10">
      <c r="A1204" s="252">
        <v>1</v>
      </c>
      <c r="B1204" s="253" t="s">
        <v>28</v>
      </c>
      <c r="C1204" s="292" t="e">
        <f>VLOOKUP($F$44,'Анализ стоимости'!$A$4:$BY$59,12+2,0)</f>
        <v>#N/A</v>
      </c>
      <c r="D1204" s="293"/>
      <c r="J1204" s="136" t="str">
        <f t="shared" si="160"/>
        <v/>
      </c>
    </row>
    <row r="1205" spans="1:10">
      <c r="A1205" s="252">
        <v>2</v>
      </c>
      <c r="B1205" s="253" t="s">
        <v>23</v>
      </c>
      <c r="C1205" s="292" t="e">
        <f>VLOOKUP($F$44,'Анализ стоимости'!$A$4:$DK$59,13+2,0)</f>
        <v>#N/A</v>
      </c>
      <c r="D1205" s="293"/>
      <c r="J1205" s="136" t="str">
        <f t="shared" si="160"/>
        <v/>
      </c>
    </row>
    <row r="1206" spans="1:10" ht="31.5">
      <c r="A1206" s="252">
        <v>3</v>
      </c>
      <c r="B1206" s="253" t="s">
        <v>2</v>
      </c>
      <c r="C1206" s="292" t="e">
        <f>VLOOKUP($F$44,'Анализ стоимости'!$A$4:$DK$59,14+2,0)</f>
        <v>#N/A</v>
      </c>
      <c r="D1206" s="293"/>
      <c r="J1206" s="136" t="str">
        <f t="shared" si="160"/>
        <v/>
      </c>
    </row>
    <row r="1207" spans="1:10">
      <c r="A1207" s="252">
        <v>4</v>
      </c>
      <c r="B1207" s="253" t="s">
        <v>24</v>
      </c>
      <c r="C1207" s="292" t="e">
        <f>VLOOKUP($F$44,'Анализ стоимости'!$A$4:$DK$59,15+2,0)</f>
        <v>#N/A</v>
      </c>
      <c r="D1207" s="293"/>
      <c r="J1207" s="136" t="str">
        <f t="shared" si="160"/>
        <v/>
      </c>
    </row>
    <row r="1208" spans="1:10">
      <c r="A1208" s="252">
        <v>5</v>
      </c>
      <c r="B1208" s="253" t="s">
        <v>5</v>
      </c>
      <c r="C1208" s="292" t="e">
        <f>VLOOKUP($F$44,'Анализ стоимости'!$A$4:$DK$59,16+2,0)</f>
        <v>#N/A</v>
      </c>
      <c r="D1208" s="293"/>
      <c r="J1208" s="136" t="str">
        <f t="shared" si="160"/>
        <v/>
      </c>
    </row>
    <row r="1209" spans="1:10">
      <c r="A1209" s="252">
        <v>6</v>
      </c>
      <c r="B1209" s="253" t="s">
        <v>10</v>
      </c>
      <c r="C1209" s="292" t="e">
        <f>VLOOKUP($F$44,'Анализ стоимости'!$A$4:$DK$59,20+2,0)</f>
        <v>#N/A</v>
      </c>
      <c r="D1209" s="293"/>
      <c r="J1209" s="136" t="str">
        <f t="shared" si="160"/>
        <v/>
      </c>
    </row>
    <row r="1210" spans="1:10">
      <c r="A1210" s="252">
        <v>7</v>
      </c>
      <c r="B1210" s="253" t="s">
        <v>79</v>
      </c>
      <c r="C1210" s="292" t="e">
        <f>VLOOKUP($F$44,'Анализ стоимости'!$A$4:$DK$59,21+2,0)+VLOOKUP($F$44,'Анализ стоимости'!$A$4:$DK$59,23+2,0)+VLOOKUP($F$44,'Анализ стоимости'!$A$4:$DK$59,24+2,0)+VLOOKUP($F$44,'Анализ стоимости'!$A$4:$DK$59,25+2,0)+VLOOKUP($F$44,'Анализ стоимости'!$A$4:$DK$59,26+2,0)+VLOOKUP($F$44,'Анализ стоимости'!$A$4:$DK$59,27+2,0)+VLOOKUP($F$44,'Анализ стоимости'!$A$4:$DK$59,28+2,0)+VLOOKUP($F$44,'Анализ стоимости'!$A$4:$DK$59,29+2,0)</f>
        <v>#N/A</v>
      </c>
      <c r="D1210" s="293"/>
      <c r="J1210" s="136" t="str">
        <f t="shared" si="160"/>
        <v/>
      </c>
    </row>
    <row r="1211" spans="1:10">
      <c r="A1211" s="252">
        <v>8</v>
      </c>
      <c r="B1211" s="253" t="s">
        <v>46</v>
      </c>
      <c r="C1211" s="292" t="e">
        <f>VLOOKUP($F$44,'Анализ стоимости'!$A$4:$DK$59,34+2,0)</f>
        <v>#N/A</v>
      </c>
      <c r="D1211" s="293"/>
      <c r="J1211" s="136" t="str">
        <f t="shared" si="160"/>
        <v/>
      </c>
    </row>
    <row r="1212" spans="1:10">
      <c r="A1212" s="252">
        <v>9</v>
      </c>
      <c r="B1212" s="253" t="s">
        <v>169</v>
      </c>
      <c r="C1212" s="292" t="e">
        <f>SUM(C1204:D1211)</f>
        <v>#N/A</v>
      </c>
      <c r="D1212" s="293"/>
      <c r="J1212" s="136" t="str">
        <f t="shared" si="160"/>
        <v/>
      </c>
    </row>
    <row r="1213" spans="1:10">
      <c r="A1213" s="294" t="s">
        <v>161</v>
      </c>
      <c r="B1213" s="294"/>
      <c r="C1213" s="294"/>
      <c r="D1213" s="294"/>
      <c r="J1213" s="136" t="str">
        <f t="shared" si="160"/>
        <v/>
      </c>
    </row>
    <row r="1214" spans="1:10" ht="31.5">
      <c r="A1214" s="255" t="s">
        <v>53</v>
      </c>
      <c r="B1214" s="249" t="s">
        <v>15</v>
      </c>
      <c r="C1214" s="249" t="s">
        <v>152</v>
      </c>
      <c r="D1214" s="249" t="s">
        <v>88</v>
      </c>
      <c r="J1214" s="136" t="str">
        <f t="shared" si="160"/>
        <v/>
      </c>
    </row>
    <row r="1215" spans="1:10">
      <c r="A1215" s="252">
        <v>10</v>
      </c>
      <c r="B1215" s="252" t="e">
        <f>VLOOKUP((VLOOKUP($F$44,'Анализ стоимости'!$A$4:$BY$59,12,0)),'Расчет инфляции'!$BD$5:$BE$22,2,0)</f>
        <v>#N/A</v>
      </c>
      <c r="C1215" s="252"/>
      <c r="D1215" s="253"/>
      <c r="J1215" s="136" t="str">
        <f t="shared" si="160"/>
        <v/>
      </c>
    </row>
    <row r="1216" spans="1:10">
      <c r="A1216" s="252" t="e">
        <f>IF(D1216=0,0,A1215+1)</f>
        <v>#N/A</v>
      </c>
      <c r="B1216" s="253" t="e">
        <f>CONCATENATE("2014 г. (",CHOOSE(VLOOKUP(F$44,'Анализ стоимости'!$A$4:$DK$90,68,0),"Январь","Февраль","Март","Апрель","Май","Июнь","Июль","Август","Сентябрь","Октябрь","Ноябрь","Декабрь")," - ",CHOOSE(VLOOKUP(F$44,'Анализ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16" s="252" t="s">
        <v>153</v>
      </c>
      <c r="D1216" s="278" t="e">
        <f>IF(D1218=0,0,VLOOKUP($F$44,'Анализ стоимости'!$A$4:$DK$59,74,0)*100+100)</f>
        <v>#N/A</v>
      </c>
      <c r="J1216" s="136" t="e">
        <f>IF(D1216=0,"",1)</f>
        <v>#N/A</v>
      </c>
    </row>
    <row r="1217" spans="1:10">
      <c r="A1217" s="252" t="e">
        <f>IF(D1217=0,0,IF(D1216=0,A1215+1,A1216+1))</f>
        <v>#N/A</v>
      </c>
      <c r="B1217" s="253" t="e">
        <f>CONCATENATE("2015 г. (",CHOOSE(VLOOKUP(F$44,'Анализ стоимости'!$A$4:$DK$90,70,0),"Январь","Февраль","Март","Апрель","Май","Июнь","Июль","Август","Сентябрь","Октябрь","Ноябрь","Декабрь")," - ",CHOOSE(VLOOKUP(F$44,'Анализ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17" s="252" t="s">
        <v>153</v>
      </c>
      <c r="D1217" s="278" t="e">
        <f>IF(D1219=0,0,VLOOKUP($F$44,'Анализ стоимости'!$A$4:$DK$59,75,0)*100+100)</f>
        <v>#N/A</v>
      </c>
      <c r="J1217" s="136" t="e">
        <f t="shared" ref="J1217:J1218" si="161">IF(D1217=0,"",1)</f>
        <v>#N/A</v>
      </c>
    </row>
    <row r="1218" spans="1:10">
      <c r="A1218" s="252" t="e">
        <f>IF(D1218=0,0,IF(D1217=0,A1216+1,A1217+1))</f>
        <v>#N/A</v>
      </c>
      <c r="B1218" s="253" t="s">
        <v>154</v>
      </c>
      <c r="C1218" s="252" t="s">
        <v>156</v>
      </c>
      <c r="D1218" s="257" t="e">
        <f>VLOOKUP($F$44,'Анализ стоимости'!$A$4:$DK$59,51,0)</f>
        <v>#N/A</v>
      </c>
      <c r="J1218" s="136" t="e">
        <f t="shared" si="161"/>
        <v>#N/A</v>
      </c>
    </row>
    <row r="1219" spans="1:10">
      <c r="A1219" s="252" t="e">
        <f>IF(D1219=0,0,IF(D1218=0,A1217+1,A1218+1))</f>
        <v>#N/A</v>
      </c>
      <c r="B1219" s="253" t="s">
        <v>155</v>
      </c>
      <c r="C1219" s="252" t="s">
        <v>156</v>
      </c>
      <c r="D1219" s="257" t="e">
        <f>VLOOKUP($F$44,'Анализ стоимости'!$A$4:$DK$59,61,0)</f>
        <v>#N/A</v>
      </c>
      <c r="J1219" s="136" t="e">
        <f>IF(D1219=0,"",1)</f>
        <v>#N/A</v>
      </c>
    </row>
    <row r="1220" spans="1:10">
      <c r="A1220" s="294" t="s">
        <v>157</v>
      </c>
      <c r="B1220" s="294"/>
      <c r="C1220" s="294"/>
      <c r="D1220" s="294"/>
      <c r="J1220" s="136" t="str">
        <f>IF($F$44=0,"",1)</f>
        <v/>
      </c>
    </row>
    <row r="1221" spans="1:10" ht="31.5">
      <c r="A1221" s="252" t="e">
        <f>IF(D1221=0,0,IF(D1219=0,IF(D1218=0,A1215+1,A1218+1),A1219+1))</f>
        <v>#N/A</v>
      </c>
      <c r="B1221" s="258" t="s">
        <v>206</v>
      </c>
      <c r="C1221" s="252" t="s">
        <v>156</v>
      </c>
      <c r="D1221" s="257" t="e">
        <f>SUM(VLOOKUP($F$44,'Анализ стоимости'!$A$4:$DK$59,46,0),D1218)</f>
        <v>#N/A</v>
      </c>
      <c r="E1221" s="136"/>
      <c r="J1221" s="136" t="e">
        <f t="shared" ref="J1221:J1227" si="162">IF(D1221=0,"",1)</f>
        <v>#N/A</v>
      </c>
    </row>
    <row r="1222" spans="1:10">
      <c r="A1222" s="252" t="e">
        <f>IF(D1222=0,0,A1221+1)</f>
        <v>#N/A</v>
      </c>
      <c r="B1222" s="258" t="s">
        <v>159</v>
      </c>
      <c r="C1222" s="252" t="s">
        <v>156</v>
      </c>
      <c r="D1222" s="257" t="e">
        <f>VLOOKUP($F$44,'Анализ стоимости'!$A$4:$DK$59,56,0)</f>
        <v>#N/A</v>
      </c>
      <c r="E1222" s="136"/>
      <c r="J1222" s="136" t="e">
        <f t="shared" si="162"/>
        <v>#N/A</v>
      </c>
    </row>
    <row r="1223" spans="1:10">
      <c r="A1223" s="252" t="e">
        <f>IF(D1223=0,0,A1222+1)</f>
        <v>#N/A</v>
      </c>
      <c r="B1223" s="258" t="s">
        <v>205</v>
      </c>
      <c r="C1223" s="252" t="s">
        <v>156</v>
      </c>
      <c r="D1223" s="257" t="e">
        <f>SUM(D1221:D1222)</f>
        <v>#N/A</v>
      </c>
      <c r="E1223" s="254" t="e">
        <f>VLOOKUP($F$44,'Анализ стоимости'!$A$4:$DK$59,76,0)</f>
        <v>#N/A</v>
      </c>
      <c r="J1223" s="136" t="e">
        <f t="shared" si="162"/>
        <v>#N/A</v>
      </c>
    </row>
    <row r="1224" spans="1:10" ht="31.5">
      <c r="A1224" s="252" t="e">
        <f>IF(D1224=0,0,IF(D1223=0,IF(D1219=0,A1215+1,A1219+1),A1223+1))</f>
        <v>#N/A</v>
      </c>
      <c r="B1224" s="258" t="s">
        <v>204</v>
      </c>
      <c r="C1224" s="252" t="s">
        <v>156</v>
      </c>
      <c r="D1224" s="257" t="e">
        <f>VLOOKUP($F$44,'Анализ стоимости'!$A$4:$DK$59,41,0)-VLOOKUP($F$44,'Анализ стоимости'!$A$4:$DK$59,46,0)+D1219</f>
        <v>#N/A</v>
      </c>
      <c r="J1224" s="136" t="e">
        <f t="shared" si="162"/>
        <v>#N/A</v>
      </c>
    </row>
    <row r="1225" spans="1:10">
      <c r="A1225" s="252" t="e">
        <f>IF(D1225=0,0,A1224+1)</f>
        <v>#N/A</v>
      </c>
      <c r="B1225" s="258" t="s">
        <v>159</v>
      </c>
      <c r="C1225" s="252" t="s">
        <v>156</v>
      </c>
      <c r="D1225" s="257" t="e">
        <f>VLOOKUP($F$44,'Анализ стоимости'!$A$4:$DK$59,66,0)</f>
        <v>#N/A</v>
      </c>
      <c r="J1225" s="136" t="e">
        <f t="shared" si="162"/>
        <v>#N/A</v>
      </c>
    </row>
    <row r="1226" spans="1:10">
      <c r="A1226" s="252" t="e">
        <f>IF(D1226=0,0,A1225+1)</f>
        <v>#N/A</v>
      </c>
      <c r="B1226" s="258" t="s">
        <v>203</v>
      </c>
      <c r="C1226" s="252" t="s">
        <v>156</v>
      </c>
      <c r="D1226" s="257" t="e">
        <f>SUM(D1224:D1225)</f>
        <v>#N/A</v>
      </c>
      <c r="E1226" s="254" t="e">
        <f>VLOOKUP($F$44,'Анализ стоимости'!$A$4:$DK$59,77,0)</f>
        <v>#N/A</v>
      </c>
      <c r="J1226" s="136" t="e">
        <f t="shared" si="162"/>
        <v>#N/A</v>
      </c>
    </row>
    <row r="1227" spans="1:10">
      <c r="A1227" s="252" t="e">
        <f>IF(D1227=0,0,A1226+1)</f>
        <v>#N/A</v>
      </c>
      <c r="B1227" s="258" t="s">
        <v>158</v>
      </c>
      <c r="C1227" s="252" t="s">
        <v>156</v>
      </c>
      <c r="D1227" s="257" t="e">
        <f>IF(OR(D1223=0,D1226=0),0,D1226+D1223)</f>
        <v>#N/A</v>
      </c>
      <c r="E1227" s="254" t="e">
        <f>VLOOKUP($F$44,'Анализ стоимости'!$A$4:$DK$59,67,0)</f>
        <v>#N/A</v>
      </c>
      <c r="J1227" s="136" t="e">
        <f t="shared" si="162"/>
        <v>#N/A</v>
      </c>
    </row>
    <row r="1228" spans="1:10">
      <c r="A1228" s="262"/>
      <c r="B1228" s="262"/>
      <c r="C1228" s="262"/>
      <c r="D1228" s="263"/>
      <c r="J1228" s="136" t="str">
        <f>IF($F$44=0,"",1)</f>
        <v/>
      </c>
    </row>
    <row r="1229" spans="1:10" ht="31.5" customHeight="1">
      <c r="A1229" s="289" t="str">
        <f>'Анализ стоимости'!M$52</f>
        <v>Заместитель главы Вышестеблиевского сельского поселения Темрюкского района</v>
      </c>
      <c r="B1229" s="290"/>
      <c r="C1229" s="264"/>
      <c r="D1229" s="265" t="str">
        <f>CONCATENATE("_____________________ ",'Анализ стоимости'!M$53)</f>
        <v>_____________________ Н.Д.Шевченко</v>
      </c>
      <c r="G1229" s="267" t="str">
        <f>A1229</f>
        <v>Заместитель главы Вышестеблиевского сельского поселения Темрюкского района</v>
      </c>
      <c r="J1229" s="136" t="str">
        <f>IF($F$12=0,"",1)</f>
        <v/>
      </c>
    </row>
    <row r="1230" spans="1:10" s="237" customFormat="1" ht="5.25">
      <c r="A1230" s="269"/>
      <c r="B1230" s="269"/>
      <c r="C1230" s="269"/>
      <c r="D1230" s="270"/>
      <c r="G1230" s="238"/>
      <c r="H1230" s="238"/>
      <c r="I1230" s="273"/>
      <c r="J1230" s="277" t="str">
        <f>IF($F$12=0,"",1)</f>
        <v/>
      </c>
    </row>
    <row r="1231" spans="1:10">
      <c r="A1231" s="291">
        <f ca="1">TODAY()</f>
        <v>41941</v>
      </c>
      <c r="B1231" s="291"/>
      <c r="C1231" s="224"/>
      <c r="D1231" s="224"/>
      <c r="J1231" s="136" t="str">
        <f>IF($F$44=0,"",1)</f>
        <v/>
      </c>
    </row>
    <row r="1232" spans="1:10">
      <c r="A1232" s="295" t="s">
        <v>240</v>
      </c>
      <c r="B1232" s="295"/>
      <c r="C1232" s="295"/>
      <c r="D1232" s="295"/>
      <c r="G1232" s="226"/>
      <c r="H1232" s="226"/>
      <c r="J1232" s="136" t="str">
        <f t="shared" ref="J1232:J1249" si="163">IF($F$45=0,"",1)</f>
        <v/>
      </c>
    </row>
    <row r="1233" spans="1:10">
      <c r="A1233" s="296" t="e">
        <f>CONCATENATE("Наименование объекта: ",VLOOKUP($F$45,'Анализ стоимости'!$A$4:$DK$59,11+2,0))</f>
        <v>#N/A</v>
      </c>
      <c r="B1233" s="296"/>
      <c r="C1233" s="296"/>
      <c r="D1233" s="296"/>
      <c r="I1233" s="276" t="e">
        <f>A1233</f>
        <v>#N/A</v>
      </c>
      <c r="J1233" s="136" t="str">
        <f t="shared" si="163"/>
        <v/>
      </c>
    </row>
    <row r="1234" spans="1:10" s="237" customFormat="1" ht="5.25">
      <c r="A1234" s="246"/>
      <c r="B1234" s="235"/>
      <c r="C1234" s="235"/>
      <c r="D1234" s="235"/>
      <c r="G1234" s="238"/>
      <c r="H1234" s="238"/>
      <c r="I1234" s="273"/>
      <c r="J1234" s="277" t="str">
        <f t="shared" si="163"/>
        <v/>
      </c>
    </row>
    <row r="1235" spans="1:10">
      <c r="A1235" s="248" t="s">
        <v>149</v>
      </c>
      <c r="B1235" s="241"/>
      <c r="C1235" s="241"/>
      <c r="D1235" s="241"/>
      <c r="J1235" s="136" t="str">
        <f t="shared" si="163"/>
        <v/>
      </c>
    </row>
    <row r="1236" spans="1:10">
      <c r="A1236" s="297" t="s">
        <v>150</v>
      </c>
      <c r="B1236" s="297"/>
      <c r="C1236" s="297"/>
      <c r="D1236" s="297"/>
      <c r="J1236" s="136" t="str">
        <f t="shared" si="163"/>
        <v/>
      </c>
    </row>
    <row r="1237" spans="1:10" ht="47.25" customHeight="1">
      <c r="A1237" s="249" t="s">
        <v>53</v>
      </c>
      <c r="B1237" s="249" t="s">
        <v>87</v>
      </c>
      <c r="C1237" s="298" t="e">
        <f>CONCATENATE("Стоимость  согласно сметной документации (руб.) в текущих ценах по состоянию на ",VLOOKUP($F$45,'Анализ стоимости'!$A$4:$BY$59,6+2,0)," г.")</f>
        <v>#N/A</v>
      </c>
      <c r="D1237" s="299"/>
      <c r="H1237" s="250" t="e">
        <f>C1237</f>
        <v>#N/A</v>
      </c>
      <c r="J1237" s="136" t="str">
        <f t="shared" si="163"/>
        <v/>
      </c>
    </row>
    <row r="1238" spans="1:10">
      <c r="A1238" s="252">
        <v>1</v>
      </c>
      <c r="B1238" s="253" t="s">
        <v>28</v>
      </c>
      <c r="C1238" s="292" t="e">
        <f>VLOOKUP($F$45,'Анализ стоимости'!$A$4:$BY$59,12+2,0)</f>
        <v>#N/A</v>
      </c>
      <c r="D1238" s="293"/>
      <c r="J1238" s="136" t="str">
        <f t="shared" si="163"/>
        <v/>
      </c>
    </row>
    <row r="1239" spans="1:10">
      <c r="A1239" s="252">
        <v>2</v>
      </c>
      <c r="B1239" s="253" t="s">
        <v>23</v>
      </c>
      <c r="C1239" s="292" t="e">
        <f>VLOOKUP($F$45,'Анализ стоимости'!$A$4:$DK$59,13+2,0)</f>
        <v>#N/A</v>
      </c>
      <c r="D1239" s="293"/>
      <c r="J1239" s="136" t="str">
        <f t="shared" si="163"/>
        <v/>
      </c>
    </row>
    <row r="1240" spans="1:10" ht="31.5">
      <c r="A1240" s="252">
        <v>3</v>
      </c>
      <c r="B1240" s="253" t="s">
        <v>2</v>
      </c>
      <c r="C1240" s="292" t="e">
        <f>VLOOKUP($F$45,'Анализ стоимости'!$A$4:$DK$59,14+2,0)</f>
        <v>#N/A</v>
      </c>
      <c r="D1240" s="293"/>
      <c r="J1240" s="136" t="str">
        <f t="shared" si="163"/>
        <v/>
      </c>
    </row>
    <row r="1241" spans="1:10">
      <c r="A1241" s="252">
        <v>4</v>
      </c>
      <c r="B1241" s="253" t="s">
        <v>24</v>
      </c>
      <c r="C1241" s="292" t="e">
        <f>VLOOKUP($F$45,'Анализ стоимости'!$A$4:$DK$59,15+2,0)</f>
        <v>#N/A</v>
      </c>
      <c r="D1241" s="293"/>
      <c r="J1241" s="136" t="str">
        <f t="shared" si="163"/>
        <v/>
      </c>
    </row>
    <row r="1242" spans="1:10">
      <c r="A1242" s="252">
        <v>5</v>
      </c>
      <c r="B1242" s="253" t="s">
        <v>5</v>
      </c>
      <c r="C1242" s="292" t="e">
        <f>VLOOKUP($F$45,'Анализ стоимости'!$A$4:$DK$59,16+2,0)</f>
        <v>#N/A</v>
      </c>
      <c r="D1242" s="293"/>
      <c r="J1242" s="136" t="str">
        <f t="shared" si="163"/>
        <v/>
      </c>
    </row>
    <row r="1243" spans="1:10">
      <c r="A1243" s="252">
        <v>6</v>
      </c>
      <c r="B1243" s="253" t="s">
        <v>10</v>
      </c>
      <c r="C1243" s="292" t="e">
        <f>VLOOKUP($F$45,'Анализ стоимости'!$A$4:$DK$59,20+2,0)</f>
        <v>#N/A</v>
      </c>
      <c r="D1243" s="293"/>
      <c r="J1243" s="136" t="str">
        <f t="shared" si="163"/>
        <v/>
      </c>
    </row>
    <row r="1244" spans="1:10">
      <c r="A1244" s="252">
        <v>7</v>
      </c>
      <c r="B1244" s="253" t="s">
        <v>79</v>
      </c>
      <c r="C1244" s="292" t="e">
        <f>VLOOKUP($F$45,'Анализ стоимости'!$A$4:$DK$59,21+2,0)+VLOOKUP($F$45,'Анализ стоимости'!$A$4:$DK$59,23+2,0)+VLOOKUP($F$45,'Анализ стоимости'!$A$4:$DK$59,24+2,0)+VLOOKUP($F$45,'Анализ стоимости'!$A$4:$DK$59,25+2,0)+VLOOKUP($F$45,'Анализ стоимости'!$A$4:$DK$59,26+2,0)+VLOOKUP($F$45,'Анализ стоимости'!$A$4:$DK$59,27+2,0)+VLOOKUP($F$45,'Анализ стоимости'!$A$4:$DK$59,28+2,0)+VLOOKUP($F$45,'Анализ стоимости'!$A$4:$DK$59,29+2,0)</f>
        <v>#N/A</v>
      </c>
      <c r="D1244" s="293"/>
      <c r="J1244" s="136" t="str">
        <f t="shared" si="163"/>
        <v/>
      </c>
    </row>
    <row r="1245" spans="1:10">
      <c r="A1245" s="252">
        <v>8</v>
      </c>
      <c r="B1245" s="253" t="s">
        <v>46</v>
      </c>
      <c r="C1245" s="292" t="e">
        <f>VLOOKUP($F$45,'Анализ стоимости'!$A$4:$DK$59,34+2,0)</f>
        <v>#N/A</v>
      </c>
      <c r="D1245" s="293"/>
      <c r="J1245" s="136" t="str">
        <f t="shared" si="163"/>
        <v/>
      </c>
    </row>
    <row r="1246" spans="1:10">
      <c r="A1246" s="252">
        <v>9</v>
      </c>
      <c r="B1246" s="253" t="s">
        <v>169</v>
      </c>
      <c r="C1246" s="292" t="e">
        <f>SUM(C1238:D1245)</f>
        <v>#N/A</v>
      </c>
      <c r="D1246" s="293"/>
      <c r="J1246" s="136" t="str">
        <f t="shared" si="163"/>
        <v/>
      </c>
    </row>
    <row r="1247" spans="1:10">
      <c r="A1247" s="294" t="s">
        <v>161</v>
      </c>
      <c r="B1247" s="294"/>
      <c r="C1247" s="294"/>
      <c r="D1247" s="294"/>
      <c r="J1247" s="136" t="str">
        <f t="shared" si="163"/>
        <v/>
      </c>
    </row>
    <row r="1248" spans="1:10" ht="31.5">
      <c r="A1248" s="255" t="s">
        <v>53</v>
      </c>
      <c r="B1248" s="249" t="s">
        <v>15</v>
      </c>
      <c r="C1248" s="249" t="s">
        <v>152</v>
      </c>
      <c r="D1248" s="249" t="s">
        <v>88</v>
      </c>
      <c r="J1248" s="136" t="str">
        <f t="shared" si="163"/>
        <v/>
      </c>
    </row>
    <row r="1249" spans="1:10">
      <c r="A1249" s="252">
        <v>10</v>
      </c>
      <c r="B1249" s="252" t="e">
        <f>VLOOKUP((VLOOKUP($F$45,'Анализ стоимости'!$A$4:$BY$59,12,0)),'Расчет инфляции'!$BD$5:$BE$22,2,0)</f>
        <v>#N/A</v>
      </c>
      <c r="C1249" s="252"/>
      <c r="D1249" s="253"/>
      <c r="J1249" s="136" t="str">
        <f t="shared" si="163"/>
        <v/>
      </c>
    </row>
    <row r="1250" spans="1:10">
      <c r="A1250" s="252" t="e">
        <f>IF(D1250=0,0,A1249+1)</f>
        <v>#N/A</v>
      </c>
      <c r="B1250" s="253" t="e">
        <f>CONCATENATE("2014 г. (",CHOOSE(VLOOKUP(F$45,'Анализ стоимости'!$A$4:$DK$90,68,0),"Январь","Февраль","Март","Апрель","Май","Июнь","Июль","Август","Сентябрь","Октябрь","Ноябрь","Декабрь")," - ",CHOOSE(VLOOKUP(F$45,'Анализ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50" s="252" t="s">
        <v>153</v>
      </c>
      <c r="D1250" s="278" t="e">
        <f>IF(D1252=0,0,VLOOKUP($F$45,'Анализ стоимости'!$A$4:$DK$59,74,0)*100+100)</f>
        <v>#N/A</v>
      </c>
      <c r="J1250" s="136" t="e">
        <f>IF(D1250=0,"",1)</f>
        <v>#N/A</v>
      </c>
    </row>
    <row r="1251" spans="1:10">
      <c r="A1251" s="252" t="e">
        <f>IF(D1251=0,0,IF(D1250=0,A1249+1,A1250+1))</f>
        <v>#N/A</v>
      </c>
      <c r="B1251" s="253" t="e">
        <f>CONCATENATE("2015 г. (",CHOOSE(VLOOKUP(F$45,'Анализ стоимости'!$A$4:$DK$90,70,0),"Январь","Февраль","Март","Апрель","Май","Июнь","Июль","Август","Сентябрь","Октябрь","Ноябрь","Декабрь")," - ",CHOOSE(VLOOKUP(F$45,'Анализ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51" s="252" t="s">
        <v>153</v>
      </c>
      <c r="D1251" s="278" t="e">
        <f>IF(D1253=0,0,VLOOKUP($F$45,'Анализ стоимости'!$A$4:$DK$59,75,0)*100+100)</f>
        <v>#N/A</v>
      </c>
      <c r="J1251" s="136" t="e">
        <f t="shared" ref="J1251:J1252" si="164">IF(D1251=0,"",1)</f>
        <v>#N/A</v>
      </c>
    </row>
    <row r="1252" spans="1:10">
      <c r="A1252" s="252" t="e">
        <f>IF(D1252=0,0,IF(D1251=0,A1250+1,A1251+1))</f>
        <v>#N/A</v>
      </c>
      <c r="B1252" s="253" t="s">
        <v>154</v>
      </c>
      <c r="C1252" s="252" t="s">
        <v>156</v>
      </c>
      <c r="D1252" s="257" t="e">
        <f>VLOOKUP($F$45,'Анализ стоимости'!$A$4:$DK$59,51,0)</f>
        <v>#N/A</v>
      </c>
      <c r="J1252" s="136" t="e">
        <f t="shared" si="164"/>
        <v>#N/A</v>
      </c>
    </row>
    <row r="1253" spans="1:10">
      <c r="A1253" s="252" t="e">
        <f>IF(D1253=0,0,IF(D1252=0,A1251+1,A1252+1))</f>
        <v>#N/A</v>
      </c>
      <c r="B1253" s="253" t="s">
        <v>155</v>
      </c>
      <c r="C1253" s="252" t="s">
        <v>156</v>
      </c>
      <c r="D1253" s="257" t="e">
        <f>VLOOKUP($F$45,'Анализ стоимости'!$A$4:$DK$59,61,0)</f>
        <v>#N/A</v>
      </c>
      <c r="J1253" s="136" t="e">
        <f>IF(D1253=0,"",1)</f>
        <v>#N/A</v>
      </c>
    </row>
    <row r="1254" spans="1:10">
      <c r="A1254" s="294" t="s">
        <v>157</v>
      </c>
      <c r="B1254" s="294"/>
      <c r="C1254" s="294"/>
      <c r="D1254" s="294"/>
      <c r="J1254" s="136" t="str">
        <f>IF($F$45=0,"",1)</f>
        <v/>
      </c>
    </row>
    <row r="1255" spans="1:10" ht="31.5">
      <c r="A1255" s="252" t="e">
        <f>IF(D1255=0,0,IF(D1253=0,IF(D1252=0,A1249+1,A1252+1),A1253+1))</f>
        <v>#N/A</v>
      </c>
      <c r="B1255" s="258" t="s">
        <v>206</v>
      </c>
      <c r="C1255" s="252" t="s">
        <v>156</v>
      </c>
      <c r="D1255" s="257" t="e">
        <f>SUM(VLOOKUP($F$45,'Анализ стоимости'!$A$4:$DK$59,46,0),D1252)</f>
        <v>#N/A</v>
      </c>
      <c r="E1255" s="136"/>
      <c r="J1255" s="136" t="e">
        <f t="shared" ref="J1255:J1261" si="165">IF(D1255=0,"",1)</f>
        <v>#N/A</v>
      </c>
    </row>
    <row r="1256" spans="1:10">
      <c r="A1256" s="252" t="e">
        <f>IF(D1256=0,0,A1255+1)</f>
        <v>#N/A</v>
      </c>
      <c r="B1256" s="258" t="s">
        <v>159</v>
      </c>
      <c r="C1256" s="252" t="s">
        <v>156</v>
      </c>
      <c r="D1256" s="257" t="e">
        <f>VLOOKUP($F$45,'Анализ стоимости'!$A$4:$DK$59,56,0)</f>
        <v>#N/A</v>
      </c>
      <c r="E1256" s="136"/>
      <c r="J1256" s="136" t="e">
        <f t="shared" si="165"/>
        <v>#N/A</v>
      </c>
    </row>
    <row r="1257" spans="1:10">
      <c r="A1257" s="252" t="e">
        <f>IF(D1257=0,0,A1256+1)</f>
        <v>#N/A</v>
      </c>
      <c r="B1257" s="258" t="s">
        <v>205</v>
      </c>
      <c r="C1257" s="252" t="s">
        <v>156</v>
      </c>
      <c r="D1257" s="257" t="e">
        <f>SUM(D1255:D1256)</f>
        <v>#N/A</v>
      </c>
      <c r="E1257" s="254" t="e">
        <f>VLOOKUP($F$45,'Анализ стоимости'!$A$4:$DK$59,76,0)</f>
        <v>#N/A</v>
      </c>
      <c r="J1257" s="136" t="e">
        <f t="shared" si="165"/>
        <v>#N/A</v>
      </c>
    </row>
    <row r="1258" spans="1:10" ht="31.5">
      <c r="A1258" s="252" t="e">
        <f>IF(D1258=0,0,IF(D1257=0,IF(D1253=0,A1249+1,A1253+1),A1257+1))</f>
        <v>#N/A</v>
      </c>
      <c r="B1258" s="258" t="s">
        <v>204</v>
      </c>
      <c r="C1258" s="252" t="s">
        <v>156</v>
      </c>
      <c r="D1258" s="257" t="e">
        <f>VLOOKUP($F$45,'Анализ стоимости'!$A$4:$DK$59,41,0)-VLOOKUP($F$45,'Анализ стоимости'!$A$4:$DK$59,46,0)+D1253</f>
        <v>#N/A</v>
      </c>
      <c r="J1258" s="136" t="e">
        <f t="shared" si="165"/>
        <v>#N/A</v>
      </c>
    </row>
    <row r="1259" spans="1:10">
      <c r="A1259" s="252" t="e">
        <f>IF(D1259=0,0,A1258+1)</f>
        <v>#N/A</v>
      </c>
      <c r="B1259" s="258" t="s">
        <v>159</v>
      </c>
      <c r="C1259" s="252" t="s">
        <v>156</v>
      </c>
      <c r="D1259" s="257" t="e">
        <f>VLOOKUP($F$45,'Анализ стоимости'!$A$4:$DK$59,66,0)</f>
        <v>#N/A</v>
      </c>
      <c r="J1259" s="136" t="e">
        <f t="shared" si="165"/>
        <v>#N/A</v>
      </c>
    </row>
    <row r="1260" spans="1:10">
      <c r="A1260" s="252" t="e">
        <f>IF(D1260=0,0,A1259+1)</f>
        <v>#N/A</v>
      </c>
      <c r="B1260" s="258" t="s">
        <v>203</v>
      </c>
      <c r="C1260" s="252" t="s">
        <v>156</v>
      </c>
      <c r="D1260" s="257" t="e">
        <f>SUM(D1258:D1259)</f>
        <v>#N/A</v>
      </c>
      <c r="E1260" s="254" t="e">
        <f>VLOOKUP($F$45,'Анализ стоимости'!$A$4:$DK$59,77,0)</f>
        <v>#N/A</v>
      </c>
      <c r="J1260" s="136" t="e">
        <f t="shared" si="165"/>
        <v>#N/A</v>
      </c>
    </row>
    <row r="1261" spans="1:10">
      <c r="A1261" s="252" t="e">
        <f>IF(D1261=0,0,A1260+1)</f>
        <v>#N/A</v>
      </c>
      <c r="B1261" s="258" t="s">
        <v>158</v>
      </c>
      <c r="C1261" s="252" t="s">
        <v>156</v>
      </c>
      <c r="D1261" s="257" t="e">
        <f>IF(OR(D1257=0,D1260=0),0,D1260+D1257)</f>
        <v>#N/A</v>
      </c>
      <c r="E1261" s="254" t="e">
        <f>VLOOKUP($F$45,'Анализ стоимости'!$A$4:$DK$59,67,0)</f>
        <v>#N/A</v>
      </c>
      <c r="J1261" s="136" t="e">
        <f t="shared" si="165"/>
        <v>#N/A</v>
      </c>
    </row>
    <row r="1262" spans="1:10">
      <c r="A1262" s="262"/>
      <c r="B1262" s="262"/>
      <c r="C1262" s="262"/>
      <c r="D1262" s="263"/>
      <c r="J1262" s="136" t="str">
        <f>IF($F$45=0,"",1)</f>
        <v/>
      </c>
    </row>
    <row r="1263" spans="1:10" ht="31.5" customHeight="1">
      <c r="A1263" s="289" t="str">
        <f>'Анализ стоимости'!M$52</f>
        <v>Заместитель главы Вышестеблиевского сельского поселения Темрюкского района</v>
      </c>
      <c r="B1263" s="290"/>
      <c r="C1263" s="264"/>
      <c r="D1263" s="265" t="str">
        <f>CONCATENATE("_____________________ ",'Анализ стоимости'!M$53)</f>
        <v>_____________________ Н.Д.Шевченко</v>
      </c>
      <c r="G1263" s="267" t="str">
        <f>A1263</f>
        <v>Заместитель главы Вышестеблиевского сельского поселения Темрюкского района</v>
      </c>
      <c r="J1263" s="136" t="str">
        <f>IF($F$12=0,"",1)</f>
        <v/>
      </c>
    </row>
    <row r="1264" spans="1:10" s="237" customFormat="1" ht="5.25">
      <c r="A1264" s="269"/>
      <c r="B1264" s="269"/>
      <c r="C1264" s="269"/>
      <c r="D1264" s="270"/>
      <c r="G1264" s="238"/>
      <c r="H1264" s="238"/>
      <c r="I1264" s="273"/>
      <c r="J1264" s="277" t="str">
        <f>IF($F$12=0,"",1)</f>
        <v/>
      </c>
    </row>
    <row r="1265" spans="1:10">
      <c r="A1265" s="291">
        <f ca="1">TODAY()</f>
        <v>41941</v>
      </c>
      <c r="B1265" s="291"/>
      <c r="C1265" s="224"/>
      <c r="D1265" s="224"/>
      <c r="J1265" s="136" t="str">
        <f>IF($F$45=0,"",1)</f>
        <v/>
      </c>
    </row>
    <row r="1266" spans="1:10">
      <c r="A1266" s="295" t="s">
        <v>241</v>
      </c>
      <c r="B1266" s="295"/>
      <c r="C1266" s="295"/>
      <c r="D1266" s="295"/>
      <c r="G1266" s="226"/>
      <c r="H1266" s="226"/>
      <c r="J1266" s="136" t="str">
        <f t="shared" ref="J1266:J1283" si="166">IF($F$46=0,"",1)</f>
        <v/>
      </c>
    </row>
    <row r="1267" spans="1:10">
      <c r="A1267" s="296" t="e">
        <f>CONCATENATE("Наименование объекта: ",VLOOKUP($F$46,'Анализ стоимости'!$A$4:$DK$59,11+2,0))</f>
        <v>#N/A</v>
      </c>
      <c r="B1267" s="296"/>
      <c r="C1267" s="296"/>
      <c r="D1267" s="296"/>
      <c r="I1267" s="276" t="e">
        <f>A1267</f>
        <v>#N/A</v>
      </c>
      <c r="J1267" s="136" t="str">
        <f t="shared" si="166"/>
        <v/>
      </c>
    </row>
    <row r="1268" spans="1:10" s="237" customFormat="1" ht="5.25">
      <c r="A1268" s="246"/>
      <c r="B1268" s="235"/>
      <c r="C1268" s="235"/>
      <c r="D1268" s="235"/>
      <c r="G1268" s="238"/>
      <c r="H1268" s="238"/>
      <c r="I1268" s="273"/>
      <c r="J1268" s="277" t="str">
        <f t="shared" si="166"/>
        <v/>
      </c>
    </row>
    <row r="1269" spans="1:10">
      <c r="A1269" s="248" t="s">
        <v>149</v>
      </c>
      <c r="B1269" s="241"/>
      <c r="C1269" s="241"/>
      <c r="D1269" s="241"/>
      <c r="J1269" s="136" t="str">
        <f t="shared" si="166"/>
        <v/>
      </c>
    </row>
    <row r="1270" spans="1:10">
      <c r="A1270" s="297" t="s">
        <v>150</v>
      </c>
      <c r="B1270" s="297"/>
      <c r="C1270" s="297"/>
      <c r="D1270" s="297"/>
      <c r="J1270" s="136" t="str">
        <f t="shared" si="166"/>
        <v/>
      </c>
    </row>
    <row r="1271" spans="1:10" ht="47.25" customHeight="1">
      <c r="A1271" s="249" t="s">
        <v>53</v>
      </c>
      <c r="B1271" s="249" t="s">
        <v>87</v>
      </c>
      <c r="C1271" s="298" t="e">
        <f>CONCATENATE("Стоимость  согласно сметной документации (руб.) в текущих ценах по состоянию на ",VLOOKUP($F$46,'Анализ стоимости'!$A$4:$BY$59,6+2,0)," г.")</f>
        <v>#N/A</v>
      </c>
      <c r="D1271" s="299"/>
      <c r="H1271" s="250" t="e">
        <f>C1271</f>
        <v>#N/A</v>
      </c>
      <c r="J1271" s="136" t="str">
        <f t="shared" si="166"/>
        <v/>
      </c>
    </row>
    <row r="1272" spans="1:10">
      <c r="A1272" s="252">
        <v>1</v>
      </c>
      <c r="B1272" s="253" t="s">
        <v>28</v>
      </c>
      <c r="C1272" s="292" t="e">
        <f>VLOOKUP($F$46,'Анализ стоимости'!$A$4:$BY$59,12+2,0)</f>
        <v>#N/A</v>
      </c>
      <c r="D1272" s="293"/>
      <c r="J1272" s="136" t="str">
        <f t="shared" si="166"/>
        <v/>
      </c>
    </row>
    <row r="1273" spans="1:10">
      <c r="A1273" s="252">
        <v>2</v>
      </c>
      <c r="B1273" s="253" t="s">
        <v>23</v>
      </c>
      <c r="C1273" s="292" t="e">
        <f>VLOOKUP($F$46,'Анализ стоимости'!$A$4:$DK$59,13+2,0)</f>
        <v>#N/A</v>
      </c>
      <c r="D1273" s="293"/>
      <c r="J1273" s="136" t="str">
        <f t="shared" si="166"/>
        <v/>
      </c>
    </row>
    <row r="1274" spans="1:10" ht="31.5">
      <c r="A1274" s="252">
        <v>3</v>
      </c>
      <c r="B1274" s="253" t="s">
        <v>2</v>
      </c>
      <c r="C1274" s="292" t="e">
        <f>VLOOKUP($F$46,'Анализ стоимости'!$A$4:$DK$59,14+2,0)</f>
        <v>#N/A</v>
      </c>
      <c r="D1274" s="293"/>
      <c r="J1274" s="136" t="str">
        <f t="shared" si="166"/>
        <v/>
      </c>
    </row>
    <row r="1275" spans="1:10">
      <c r="A1275" s="252">
        <v>4</v>
      </c>
      <c r="B1275" s="253" t="s">
        <v>24</v>
      </c>
      <c r="C1275" s="292" t="e">
        <f>VLOOKUP($F$46,'Анализ стоимости'!$A$4:$DK$59,15+2,0)</f>
        <v>#N/A</v>
      </c>
      <c r="D1275" s="293"/>
      <c r="J1275" s="136" t="str">
        <f t="shared" si="166"/>
        <v/>
      </c>
    </row>
    <row r="1276" spans="1:10">
      <c r="A1276" s="252">
        <v>5</v>
      </c>
      <c r="B1276" s="253" t="s">
        <v>5</v>
      </c>
      <c r="C1276" s="292" t="e">
        <f>VLOOKUP($F$46,'Анализ стоимости'!$A$4:$DK$59,16+2,0)</f>
        <v>#N/A</v>
      </c>
      <c r="D1276" s="293"/>
      <c r="J1276" s="136" t="str">
        <f t="shared" si="166"/>
        <v/>
      </c>
    </row>
    <row r="1277" spans="1:10">
      <c r="A1277" s="252">
        <v>6</v>
      </c>
      <c r="B1277" s="253" t="s">
        <v>10</v>
      </c>
      <c r="C1277" s="292" t="e">
        <f>VLOOKUP($F$46,'Анализ стоимости'!$A$4:$DK$59,20+2,0)</f>
        <v>#N/A</v>
      </c>
      <c r="D1277" s="293"/>
      <c r="J1277" s="136" t="str">
        <f t="shared" si="166"/>
        <v/>
      </c>
    </row>
    <row r="1278" spans="1:10">
      <c r="A1278" s="252">
        <v>7</v>
      </c>
      <c r="B1278" s="253" t="s">
        <v>79</v>
      </c>
      <c r="C1278" s="292" t="e">
        <f>VLOOKUP($F$46,'Анализ стоимости'!$A$4:$DK$59,21+2,0)+VLOOKUP($F$46,'Анализ стоимости'!$A$4:$DK$59,23+2,0)+VLOOKUP($F$46,'Анализ стоимости'!$A$4:$DK$59,24+2,0)+VLOOKUP($F$46,'Анализ стоимости'!$A$4:$DK$59,25+2,0)+VLOOKUP($F$46,'Анализ стоимости'!$A$4:$DK$59,26+2,0)+VLOOKUP($F$46,'Анализ стоимости'!$A$4:$DK$59,27+2,0)+VLOOKUP($F$46,'Анализ стоимости'!$A$4:$DK$59,28+2,0)+VLOOKUP($F$46,'Анализ стоимости'!$A$4:$DK$59,29+2,0)</f>
        <v>#N/A</v>
      </c>
      <c r="D1278" s="293"/>
      <c r="J1278" s="136" t="str">
        <f t="shared" si="166"/>
        <v/>
      </c>
    </row>
    <row r="1279" spans="1:10">
      <c r="A1279" s="252">
        <v>8</v>
      </c>
      <c r="B1279" s="253" t="s">
        <v>46</v>
      </c>
      <c r="C1279" s="292" t="e">
        <f>VLOOKUP($F$46,'Анализ стоимости'!$A$4:$DK$59,34+2,0)</f>
        <v>#N/A</v>
      </c>
      <c r="D1279" s="293"/>
      <c r="J1279" s="136" t="str">
        <f t="shared" si="166"/>
        <v/>
      </c>
    </row>
    <row r="1280" spans="1:10">
      <c r="A1280" s="252">
        <v>9</v>
      </c>
      <c r="B1280" s="253" t="s">
        <v>169</v>
      </c>
      <c r="C1280" s="292" t="e">
        <f>SUM(C1272:D1279)</f>
        <v>#N/A</v>
      </c>
      <c r="D1280" s="293"/>
      <c r="J1280" s="136" t="str">
        <f t="shared" si="166"/>
        <v/>
      </c>
    </row>
    <row r="1281" spans="1:10">
      <c r="A1281" s="294" t="s">
        <v>161</v>
      </c>
      <c r="B1281" s="294"/>
      <c r="C1281" s="294"/>
      <c r="D1281" s="294"/>
      <c r="J1281" s="136" t="str">
        <f t="shared" si="166"/>
        <v/>
      </c>
    </row>
    <row r="1282" spans="1:10" ht="31.5">
      <c r="A1282" s="255" t="s">
        <v>53</v>
      </c>
      <c r="B1282" s="249" t="s">
        <v>15</v>
      </c>
      <c r="C1282" s="249" t="s">
        <v>152</v>
      </c>
      <c r="D1282" s="249" t="s">
        <v>88</v>
      </c>
      <c r="J1282" s="136" t="str">
        <f t="shared" si="166"/>
        <v/>
      </c>
    </row>
    <row r="1283" spans="1:10">
      <c r="A1283" s="252">
        <v>10</v>
      </c>
      <c r="B1283" s="252" t="e">
        <f>VLOOKUP((VLOOKUP($F$46,'Анализ стоимости'!$A$4:$BY$59,12,0)),'Расчет инфляции'!$BD$5:$BE$22,2,0)</f>
        <v>#N/A</v>
      </c>
      <c r="C1283" s="252"/>
      <c r="D1283" s="253"/>
      <c r="J1283" s="136" t="str">
        <f t="shared" si="166"/>
        <v/>
      </c>
    </row>
    <row r="1284" spans="1:10">
      <c r="A1284" s="252" t="e">
        <f>IF(D1284=0,0,A1283+1)</f>
        <v>#N/A</v>
      </c>
      <c r="B1284" s="253" t="e">
        <f>CONCATENATE("2014 г. (",CHOOSE(VLOOKUP(F$46,'Анализ стоимости'!$A$4:$DK$90,68,0),"Январь","Февраль","Март","Апрель","Май","Июнь","Июль","Август","Сентябрь","Октябрь","Ноябрь","Декабрь")," - ",CHOOSE(VLOOKUP(F$46,'Анализ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284" s="252" t="s">
        <v>153</v>
      </c>
      <c r="D1284" s="278" t="e">
        <f>IF(D1286=0,0,VLOOKUP($F$46,'Анализ стоимости'!$A$4:$DK$59,74,0)*100+100)</f>
        <v>#N/A</v>
      </c>
      <c r="J1284" s="136" t="e">
        <f>IF(D1284=0,"",1)</f>
        <v>#N/A</v>
      </c>
    </row>
    <row r="1285" spans="1:10">
      <c r="A1285" s="252" t="e">
        <f>IF(D1285=0,0,IF(D1284=0,A1283+1,A1284+1))</f>
        <v>#N/A</v>
      </c>
      <c r="B1285" s="253" t="e">
        <f>CONCATENATE("2015 г. (",CHOOSE(VLOOKUP(F$46,'Анализ стоимости'!$A$4:$DK$90,70,0),"Январь","Февраль","Март","Апрель","Май","Июнь","Июль","Август","Сентябрь","Октябрь","Ноябрь","Декабрь")," - ",CHOOSE(VLOOKUP(F$46,'Анализ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285" s="252" t="s">
        <v>153</v>
      </c>
      <c r="D1285" s="278" t="e">
        <f>IF(D1287=0,0,VLOOKUP($F$46,'Анализ стоимости'!$A$4:$DK$59,75,0)*100+100)</f>
        <v>#N/A</v>
      </c>
      <c r="J1285" s="136" t="e">
        <f t="shared" ref="J1285:J1286" si="167">IF(D1285=0,"",1)</f>
        <v>#N/A</v>
      </c>
    </row>
    <row r="1286" spans="1:10">
      <c r="A1286" s="252" t="e">
        <f>IF(D1286=0,0,IF(D1285=0,A1284+1,A1285+1))</f>
        <v>#N/A</v>
      </c>
      <c r="B1286" s="253" t="s">
        <v>154</v>
      </c>
      <c r="C1286" s="252" t="s">
        <v>156</v>
      </c>
      <c r="D1286" s="257" t="e">
        <f>VLOOKUP($F$46,'Анализ стоимости'!$A$4:$DK$59,51,0)</f>
        <v>#N/A</v>
      </c>
      <c r="J1286" s="136" t="e">
        <f t="shared" si="167"/>
        <v>#N/A</v>
      </c>
    </row>
    <row r="1287" spans="1:10">
      <c r="A1287" s="252" t="e">
        <f>IF(D1287=0,0,IF(D1286=0,A1285+1,A1286+1))</f>
        <v>#N/A</v>
      </c>
      <c r="B1287" s="253" t="s">
        <v>155</v>
      </c>
      <c r="C1287" s="252" t="s">
        <v>156</v>
      </c>
      <c r="D1287" s="257" t="e">
        <f>VLOOKUP($F$46,'Анализ стоимости'!$A$4:$DK$59,61,0)</f>
        <v>#N/A</v>
      </c>
      <c r="J1287" s="136" t="e">
        <f>IF(D1287=0,"",1)</f>
        <v>#N/A</v>
      </c>
    </row>
    <row r="1288" spans="1:10">
      <c r="A1288" s="294" t="s">
        <v>157</v>
      </c>
      <c r="B1288" s="294"/>
      <c r="C1288" s="294"/>
      <c r="D1288" s="294"/>
      <c r="J1288" s="136" t="str">
        <f>IF($F$46=0,"",1)</f>
        <v/>
      </c>
    </row>
    <row r="1289" spans="1:10" ht="31.5">
      <c r="A1289" s="252" t="e">
        <f>IF(D1289=0,0,IF(D1287=0,IF(D1286=0,A1283+1,A1286+1),A1287+1))</f>
        <v>#N/A</v>
      </c>
      <c r="B1289" s="258" t="s">
        <v>206</v>
      </c>
      <c r="C1289" s="252" t="s">
        <v>156</v>
      </c>
      <c r="D1289" s="257" t="e">
        <f>SUM(VLOOKUP($F$46,'Анализ стоимости'!$A$4:$DK$59,46,0),D1286)</f>
        <v>#N/A</v>
      </c>
      <c r="E1289" s="136"/>
      <c r="J1289" s="136" t="e">
        <f t="shared" ref="J1289:J1295" si="168">IF(D1289=0,"",1)</f>
        <v>#N/A</v>
      </c>
    </row>
    <row r="1290" spans="1:10">
      <c r="A1290" s="252" t="e">
        <f>IF(D1290=0,0,A1289+1)</f>
        <v>#N/A</v>
      </c>
      <c r="B1290" s="258" t="s">
        <v>159</v>
      </c>
      <c r="C1290" s="252" t="s">
        <v>156</v>
      </c>
      <c r="D1290" s="257" t="e">
        <f>VLOOKUP($F$46,'Анализ стоимости'!$A$4:$DK$59,56,0)</f>
        <v>#N/A</v>
      </c>
      <c r="E1290" s="136"/>
      <c r="J1290" s="136" t="e">
        <f t="shared" si="168"/>
        <v>#N/A</v>
      </c>
    </row>
    <row r="1291" spans="1:10">
      <c r="A1291" s="252" t="e">
        <f>IF(D1291=0,0,A1290+1)</f>
        <v>#N/A</v>
      </c>
      <c r="B1291" s="258" t="s">
        <v>205</v>
      </c>
      <c r="C1291" s="252" t="s">
        <v>156</v>
      </c>
      <c r="D1291" s="257" t="e">
        <f>SUM(D1289:D1290)</f>
        <v>#N/A</v>
      </c>
      <c r="E1291" s="254" t="e">
        <f>VLOOKUP($F$46,'Анализ стоимости'!$A$4:$DK$59,76,0)</f>
        <v>#N/A</v>
      </c>
      <c r="J1291" s="136" t="e">
        <f t="shared" si="168"/>
        <v>#N/A</v>
      </c>
    </row>
    <row r="1292" spans="1:10" ht="31.5">
      <c r="A1292" s="252" t="e">
        <f>IF(D1292=0,0,IF(D1291=0,IF(D1287=0,A1283+1,A1287+1),A1291+1))</f>
        <v>#N/A</v>
      </c>
      <c r="B1292" s="258" t="s">
        <v>204</v>
      </c>
      <c r="C1292" s="252" t="s">
        <v>156</v>
      </c>
      <c r="D1292" s="257" t="e">
        <f>VLOOKUP($F$46,'Анализ стоимости'!$A$4:$DK$59,41,0)-VLOOKUP($F$46,'Анализ стоимости'!$A$4:$DK$59,46,0)+D1287</f>
        <v>#N/A</v>
      </c>
      <c r="J1292" s="136" t="e">
        <f t="shared" si="168"/>
        <v>#N/A</v>
      </c>
    </row>
    <row r="1293" spans="1:10">
      <c r="A1293" s="252" t="e">
        <f>IF(D1293=0,0,A1292+1)</f>
        <v>#N/A</v>
      </c>
      <c r="B1293" s="258" t="s">
        <v>159</v>
      </c>
      <c r="C1293" s="252" t="s">
        <v>156</v>
      </c>
      <c r="D1293" s="257" t="e">
        <f>VLOOKUP($F$46,'Анализ стоимости'!$A$4:$DK$59,66,0)</f>
        <v>#N/A</v>
      </c>
      <c r="J1293" s="136" t="e">
        <f t="shared" si="168"/>
        <v>#N/A</v>
      </c>
    </row>
    <row r="1294" spans="1:10">
      <c r="A1294" s="252" t="e">
        <f>IF(D1294=0,0,A1293+1)</f>
        <v>#N/A</v>
      </c>
      <c r="B1294" s="258" t="s">
        <v>203</v>
      </c>
      <c r="C1294" s="252" t="s">
        <v>156</v>
      </c>
      <c r="D1294" s="257" t="e">
        <f>SUM(D1292:D1293)</f>
        <v>#N/A</v>
      </c>
      <c r="E1294" s="254" t="e">
        <f>VLOOKUP($F$46,'Анализ стоимости'!$A$4:$DK$59,77,0)</f>
        <v>#N/A</v>
      </c>
      <c r="J1294" s="136" t="e">
        <f t="shared" si="168"/>
        <v>#N/A</v>
      </c>
    </row>
    <row r="1295" spans="1:10">
      <c r="A1295" s="252" t="e">
        <f>IF(D1295=0,0,A1294+1)</f>
        <v>#N/A</v>
      </c>
      <c r="B1295" s="258" t="s">
        <v>158</v>
      </c>
      <c r="C1295" s="252" t="s">
        <v>156</v>
      </c>
      <c r="D1295" s="257" t="e">
        <f>IF(OR(D1291=0,D1294=0),0,D1294+D1291)</f>
        <v>#N/A</v>
      </c>
      <c r="E1295" s="254" t="e">
        <f>VLOOKUP($F$46,'Анализ стоимости'!$A$4:$DK$59,67,0)</f>
        <v>#N/A</v>
      </c>
      <c r="J1295" s="136" t="e">
        <f t="shared" si="168"/>
        <v>#N/A</v>
      </c>
    </row>
    <row r="1296" spans="1:10">
      <c r="A1296" s="262"/>
      <c r="B1296" s="262"/>
      <c r="C1296" s="262"/>
      <c r="D1296" s="263"/>
      <c r="J1296" s="136" t="str">
        <f>IF($F$46=0,"",1)</f>
        <v/>
      </c>
    </row>
    <row r="1297" spans="1:10" ht="31.5" customHeight="1">
      <c r="A1297" s="289" t="str">
        <f>'Анализ стоимости'!M$52</f>
        <v>Заместитель главы Вышестеблиевского сельского поселения Темрюкского района</v>
      </c>
      <c r="B1297" s="290"/>
      <c r="C1297" s="264"/>
      <c r="D1297" s="265" t="str">
        <f>CONCATENATE("_____________________ ",'Анализ стоимости'!M$53)</f>
        <v>_____________________ Н.Д.Шевченко</v>
      </c>
      <c r="G1297" s="267" t="str">
        <f>A1297</f>
        <v>Заместитель главы Вышестеблиевского сельского поселения Темрюкского района</v>
      </c>
      <c r="J1297" s="136" t="str">
        <f>IF($F$12=0,"",1)</f>
        <v/>
      </c>
    </row>
    <row r="1298" spans="1:10" s="237" customFormat="1" ht="5.25">
      <c r="A1298" s="269"/>
      <c r="B1298" s="269"/>
      <c r="C1298" s="269"/>
      <c r="D1298" s="270"/>
      <c r="G1298" s="238"/>
      <c r="H1298" s="238"/>
      <c r="I1298" s="273"/>
      <c r="J1298" s="277" t="str">
        <f>IF($F$12=0,"",1)</f>
        <v/>
      </c>
    </row>
    <row r="1299" spans="1:10">
      <c r="A1299" s="291">
        <f ca="1">TODAY()</f>
        <v>41941</v>
      </c>
      <c r="B1299" s="291"/>
      <c r="C1299" s="224"/>
      <c r="D1299" s="224"/>
      <c r="J1299" s="136" t="str">
        <f>IF($F$46=0,"",1)</f>
        <v/>
      </c>
    </row>
    <row r="1300" spans="1:10">
      <c r="A1300" s="295" t="s">
        <v>242</v>
      </c>
      <c r="B1300" s="295"/>
      <c r="C1300" s="295"/>
      <c r="D1300" s="295"/>
      <c r="G1300" s="226"/>
      <c r="H1300" s="226"/>
      <c r="J1300" s="136" t="str">
        <f t="shared" ref="J1300:J1317" si="169">IF($F$47=0,"",1)</f>
        <v/>
      </c>
    </row>
    <row r="1301" spans="1:10">
      <c r="A1301" s="296" t="e">
        <f>CONCATENATE("Наименование объекта: ",VLOOKUP($F$47,'Анализ стоимости'!$A$4:$DK$59,11+2,0))</f>
        <v>#N/A</v>
      </c>
      <c r="B1301" s="296"/>
      <c r="C1301" s="296"/>
      <c r="D1301" s="296"/>
      <c r="I1301" s="276" t="e">
        <f>A1301</f>
        <v>#N/A</v>
      </c>
      <c r="J1301" s="136" t="str">
        <f t="shared" si="169"/>
        <v/>
      </c>
    </row>
    <row r="1302" spans="1:10" s="237" customFormat="1" ht="5.25">
      <c r="A1302" s="246"/>
      <c r="B1302" s="235"/>
      <c r="C1302" s="235"/>
      <c r="D1302" s="235"/>
      <c r="G1302" s="238"/>
      <c r="H1302" s="238"/>
      <c r="I1302" s="273"/>
      <c r="J1302" s="277" t="str">
        <f t="shared" si="169"/>
        <v/>
      </c>
    </row>
    <row r="1303" spans="1:10">
      <c r="A1303" s="248" t="s">
        <v>149</v>
      </c>
      <c r="B1303" s="241"/>
      <c r="C1303" s="241"/>
      <c r="D1303" s="241"/>
      <c r="J1303" s="136" t="str">
        <f t="shared" si="169"/>
        <v/>
      </c>
    </row>
    <row r="1304" spans="1:10">
      <c r="A1304" s="297" t="s">
        <v>150</v>
      </c>
      <c r="B1304" s="297"/>
      <c r="C1304" s="297"/>
      <c r="D1304" s="297"/>
      <c r="J1304" s="136" t="str">
        <f t="shared" si="169"/>
        <v/>
      </c>
    </row>
    <row r="1305" spans="1:10" ht="47.25" customHeight="1">
      <c r="A1305" s="249" t="s">
        <v>53</v>
      </c>
      <c r="B1305" s="249" t="s">
        <v>87</v>
      </c>
      <c r="C1305" s="298" t="e">
        <f>CONCATENATE("Стоимость  согласно сметной документации (руб.) в текущих ценах по состоянию на ",VLOOKUP($F$47,'Анализ стоимости'!$A$4:$BY$59,6+2,0)," г.")</f>
        <v>#N/A</v>
      </c>
      <c r="D1305" s="299"/>
      <c r="H1305" s="250" t="e">
        <f>C1305</f>
        <v>#N/A</v>
      </c>
      <c r="J1305" s="136" t="str">
        <f t="shared" si="169"/>
        <v/>
      </c>
    </row>
    <row r="1306" spans="1:10">
      <c r="A1306" s="252">
        <v>1</v>
      </c>
      <c r="B1306" s="253" t="s">
        <v>28</v>
      </c>
      <c r="C1306" s="292" t="e">
        <f>VLOOKUP($F$47,'Анализ стоимости'!$A$4:$BY$59,12+2,0)</f>
        <v>#N/A</v>
      </c>
      <c r="D1306" s="293"/>
      <c r="J1306" s="136" t="str">
        <f t="shared" si="169"/>
        <v/>
      </c>
    </row>
    <row r="1307" spans="1:10">
      <c r="A1307" s="252">
        <v>2</v>
      </c>
      <c r="B1307" s="253" t="s">
        <v>23</v>
      </c>
      <c r="C1307" s="292" t="e">
        <f>VLOOKUP($F$47,'Анализ стоимости'!$A$4:$DK$59,13+2,0)</f>
        <v>#N/A</v>
      </c>
      <c r="D1307" s="293"/>
      <c r="J1307" s="136" t="str">
        <f t="shared" si="169"/>
        <v/>
      </c>
    </row>
    <row r="1308" spans="1:10" ht="31.5">
      <c r="A1308" s="252">
        <v>3</v>
      </c>
      <c r="B1308" s="253" t="s">
        <v>2</v>
      </c>
      <c r="C1308" s="292" t="e">
        <f>VLOOKUP($F$47,'Анализ стоимости'!$A$4:$DK$59,14+2,0)</f>
        <v>#N/A</v>
      </c>
      <c r="D1308" s="293"/>
      <c r="J1308" s="136" t="str">
        <f t="shared" si="169"/>
        <v/>
      </c>
    </row>
    <row r="1309" spans="1:10">
      <c r="A1309" s="252">
        <v>4</v>
      </c>
      <c r="B1309" s="253" t="s">
        <v>24</v>
      </c>
      <c r="C1309" s="292" t="e">
        <f>VLOOKUP($F$47,'Анализ стоимости'!$A$4:$DK$59,15+2,0)</f>
        <v>#N/A</v>
      </c>
      <c r="D1309" s="293"/>
      <c r="J1309" s="136" t="str">
        <f t="shared" si="169"/>
        <v/>
      </c>
    </row>
    <row r="1310" spans="1:10">
      <c r="A1310" s="252">
        <v>5</v>
      </c>
      <c r="B1310" s="253" t="s">
        <v>5</v>
      </c>
      <c r="C1310" s="292" t="e">
        <f>VLOOKUP($F$47,'Анализ стоимости'!$A$4:$DK$59,16+2,0)</f>
        <v>#N/A</v>
      </c>
      <c r="D1310" s="293"/>
      <c r="J1310" s="136" t="str">
        <f t="shared" si="169"/>
        <v/>
      </c>
    </row>
    <row r="1311" spans="1:10">
      <c r="A1311" s="252">
        <v>6</v>
      </c>
      <c r="B1311" s="253" t="s">
        <v>10</v>
      </c>
      <c r="C1311" s="292" t="e">
        <f>VLOOKUP($F$47,'Анализ стоимости'!$A$4:$DK$59,20+2,0)</f>
        <v>#N/A</v>
      </c>
      <c r="D1311" s="293"/>
      <c r="J1311" s="136" t="str">
        <f t="shared" si="169"/>
        <v/>
      </c>
    </row>
    <row r="1312" spans="1:10">
      <c r="A1312" s="252">
        <v>7</v>
      </c>
      <c r="B1312" s="253" t="s">
        <v>79</v>
      </c>
      <c r="C1312" s="292" t="e">
        <f>VLOOKUP($F$47,'Анализ стоимости'!$A$4:$DK$59,21+2,0)+VLOOKUP($F$47,'Анализ стоимости'!$A$4:$DK$59,23+2,0)+VLOOKUP($F$47,'Анализ стоимости'!$A$4:$DK$59,24+2,0)+VLOOKUP($F$47,'Анализ стоимости'!$A$4:$DK$59,25+2,0)+VLOOKUP($F$47,'Анализ стоимости'!$A$4:$DK$59,26+2,0)+VLOOKUP($F$47,'Анализ стоимости'!$A$4:$DK$59,27+2,0)+VLOOKUP($F$47,'Анализ стоимости'!$A$4:$DK$59,28+2,0)+VLOOKUP($F$47,'Анализ стоимости'!$A$4:$DK$59,29+2,0)</f>
        <v>#N/A</v>
      </c>
      <c r="D1312" s="293"/>
      <c r="J1312" s="136" t="str">
        <f t="shared" si="169"/>
        <v/>
      </c>
    </row>
    <row r="1313" spans="1:10">
      <c r="A1313" s="252">
        <v>8</v>
      </c>
      <c r="B1313" s="253" t="s">
        <v>46</v>
      </c>
      <c r="C1313" s="292" t="e">
        <f>VLOOKUP($F$47,'Анализ стоимости'!$A$4:$DK$59,34+2,0)</f>
        <v>#N/A</v>
      </c>
      <c r="D1313" s="293"/>
      <c r="J1313" s="136" t="str">
        <f t="shared" si="169"/>
        <v/>
      </c>
    </row>
    <row r="1314" spans="1:10">
      <c r="A1314" s="252">
        <v>9</v>
      </c>
      <c r="B1314" s="253" t="s">
        <v>169</v>
      </c>
      <c r="C1314" s="292" t="e">
        <f>SUM(C1306:D1313)</f>
        <v>#N/A</v>
      </c>
      <c r="D1314" s="293"/>
      <c r="J1314" s="136" t="str">
        <f t="shared" si="169"/>
        <v/>
      </c>
    </row>
    <row r="1315" spans="1:10">
      <c r="A1315" s="294" t="s">
        <v>161</v>
      </c>
      <c r="B1315" s="294"/>
      <c r="C1315" s="294"/>
      <c r="D1315" s="294"/>
      <c r="J1315" s="136" t="str">
        <f t="shared" si="169"/>
        <v/>
      </c>
    </row>
    <row r="1316" spans="1:10" ht="31.5">
      <c r="A1316" s="255" t="s">
        <v>53</v>
      </c>
      <c r="B1316" s="249" t="s">
        <v>15</v>
      </c>
      <c r="C1316" s="249" t="s">
        <v>152</v>
      </c>
      <c r="D1316" s="249" t="s">
        <v>88</v>
      </c>
      <c r="J1316" s="136" t="str">
        <f t="shared" si="169"/>
        <v/>
      </c>
    </row>
    <row r="1317" spans="1:10">
      <c r="A1317" s="252">
        <v>10</v>
      </c>
      <c r="B1317" s="252" t="e">
        <f>VLOOKUP((VLOOKUP($F$47,'Анализ стоимости'!$A$4:$BY$59,12,0)),'Расчет инфляции'!$BD$5:$BE$22,2,0)</f>
        <v>#N/A</v>
      </c>
      <c r="C1317" s="252"/>
      <c r="D1317" s="253"/>
      <c r="J1317" s="136" t="str">
        <f t="shared" si="169"/>
        <v/>
      </c>
    </row>
    <row r="1318" spans="1:10">
      <c r="A1318" s="252" t="e">
        <f>IF(D1318=0,0,A1317+1)</f>
        <v>#N/A</v>
      </c>
      <c r="B1318" s="253" t="e">
        <f>CONCATENATE("2014 г. (",CHOOSE(VLOOKUP(F$47,'Анализ стоимости'!$A$4:$DK$90,68,0),"Январь","Февраль","Март","Апрель","Май","Июнь","Июль","Август","Сентябрь","Октябрь","Ноябрь","Декабрь")," - ",CHOOSE(VLOOKUP(F$47,'Анализ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318" s="252" t="s">
        <v>153</v>
      </c>
      <c r="D1318" s="278" t="e">
        <f>IF(D1320=0,0,VLOOKUP($F$47,'Анализ стоимости'!$A$4:$DK$59,74,0)*100+100)</f>
        <v>#N/A</v>
      </c>
      <c r="J1318" s="136" t="e">
        <f>IF(D1318=0,"",1)</f>
        <v>#N/A</v>
      </c>
    </row>
    <row r="1319" spans="1:10">
      <c r="A1319" s="252" t="e">
        <f>IF(D1319=0,0,IF(D1318=0,A1317+1,A1318+1))</f>
        <v>#N/A</v>
      </c>
      <c r="B1319" s="253" t="e">
        <f>CONCATENATE("2015 г. (",CHOOSE(VLOOKUP(F$47,'Анализ стоимости'!$A$4:$DK$90,70,0),"Январь","Февраль","Март","Апрель","Май","Июнь","Июль","Август","Сентябрь","Октябрь","Ноябрь","Декабрь")," - ",CHOOSE(VLOOKUP(F$47,'Анализ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319" s="252" t="s">
        <v>153</v>
      </c>
      <c r="D1319" s="278" t="e">
        <f>IF(D1321=0,0,VLOOKUP($F$47,'Анализ стоимости'!$A$4:$DK$59,75,0)*100+100)</f>
        <v>#N/A</v>
      </c>
      <c r="J1319" s="136" t="e">
        <f t="shared" ref="J1319:J1320" si="170">IF(D1319=0,"",1)</f>
        <v>#N/A</v>
      </c>
    </row>
    <row r="1320" spans="1:10">
      <c r="A1320" s="252" t="e">
        <f>IF(D1320=0,0,IF(D1319=0,A1318+1,A1319+1))</f>
        <v>#N/A</v>
      </c>
      <c r="B1320" s="253" t="s">
        <v>154</v>
      </c>
      <c r="C1320" s="252" t="s">
        <v>156</v>
      </c>
      <c r="D1320" s="257" t="e">
        <f>VLOOKUP($F$47,'Анализ стоимости'!$A$4:$DK$59,51,0)</f>
        <v>#N/A</v>
      </c>
      <c r="J1320" s="136" t="e">
        <f t="shared" si="170"/>
        <v>#N/A</v>
      </c>
    </row>
    <row r="1321" spans="1:10">
      <c r="A1321" s="252" t="e">
        <f>IF(D1321=0,0,IF(D1320=0,A1319+1,A1320+1))</f>
        <v>#N/A</v>
      </c>
      <c r="B1321" s="253" t="s">
        <v>155</v>
      </c>
      <c r="C1321" s="252" t="s">
        <v>156</v>
      </c>
      <c r="D1321" s="257" t="e">
        <f>VLOOKUP($F$47,'Анализ стоимости'!$A$4:$DK$59,61,0)</f>
        <v>#N/A</v>
      </c>
      <c r="J1321" s="136" t="e">
        <f>IF(D1321=0,"",1)</f>
        <v>#N/A</v>
      </c>
    </row>
    <row r="1322" spans="1:10">
      <c r="A1322" s="294" t="s">
        <v>157</v>
      </c>
      <c r="B1322" s="294"/>
      <c r="C1322" s="294"/>
      <c r="D1322" s="294"/>
      <c r="J1322" s="136" t="str">
        <f>IF($F$47=0,"",1)</f>
        <v/>
      </c>
    </row>
    <row r="1323" spans="1:10" ht="31.5">
      <c r="A1323" s="252" t="e">
        <f>IF(D1323=0,0,IF(D1321=0,IF(D1320=0,A1317+1,A1320+1),A1321+1))</f>
        <v>#N/A</v>
      </c>
      <c r="B1323" s="258" t="s">
        <v>206</v>
      </c>
      <c r="C1323" s="252" t="s">
        <v>156</v>
      </c>
      <c r="D1323" s="257" t="e">
        <f>SUM(VLOOKUP($F$47,'Анализ стоимости'!$A$4:$DK$59,46,0),D1320)</f>
        <v>#N/A</v>
      </c>
      <c r="E1323" s="136"/>
      <c r="J1323" s="136" t="e">
        <f t="shared" ref="J1323:J1329" si="171">IF(D1323=0,"",1)</f>
        <v>#N/A</v>
      </c>
    </row>
    <row r="1324" spans="1:10">
      <c r="A1324" s="252" t="e">
        <f>IF(D1324=0,0,A1323+1)</f>
        <v>#N/A</v>
      </c>
      <c r="B1324" s="258" t="s">
        <v>159</v>
      </c>
      <c r="C1324" s="252" t="s">
        <v>156</v>
      </c>
      <c r="D1324" s="257" t="e">
        <f>VLOOKUP($F$47,'Анализ стоимости'!$A$4:$DK$59,56,0)</f>
        <v>#N/A</v>
      </c>
      <c r="E1324" s="136"/>
      <c r="J1324" s="136" t="e">
        <f t="shared" si="171"/>
        <v>#N/A</v>
      </c>
    </row>
    <row r="1325" spans="1:10">
      <c r="A1325" s="252" t="e">
        <f>IF(D1325=0,0,A1324+1)</f>
        <v>#N/A</v>
      </c>
      <c r="B1325" s="258" t="s">
        <v>205</v>
      </c>
      <c r="C1325" s="252" t="s">
        <v>156</v>
      </c>
      <c r="D1325" s="257" t="e">
        <f>SUM(D1323:D1324)</f>
        <v>#N/A</v>
      </c>
      <c r="E1325" s="254" t="e">
        <f>VLOOKUP($F$47,'Анализ стоимости'!$A$4:$DK$59,76,0)</f>
        <v>#N/A</v>
      </c>
      <c r="J1325" s="136" t="e">
        <f t="shared" si="171"/>
        <v>#N/A</v>
      </c>
    </row>
    <row r="1326" spans="1:10" ht="31.5">
      <c r="A1326" s="252" t="e">
        <f>IF(D1326=0,0,IF(D1325=0,IF(D1321=0,A1317+1,A1321+1),A1325+1))</f>
        <v>#N/A</v>
      </c>
      <c r="B1326" s="258" t="s">
        <v>204</v>
      </c>
      <c r="C1326" s="252" t="s">
        <v>156</v>
      </c>
      <c r="D1326" s="257" t="e">
        <f>VLOOKUP($F$47,'Анализ стоимости'!$A$4:$DK$59,41,0)-VLOOKUP($F$47,'Анализ стоимости'!$A$4:$DK$59,46,0)+D1321</f>
        <v>#N/A</v>
      </c>
      <c r="J1326" s="136" t="e">
        <f t="shared" si="171"/>
        <v>#N/A</v>
      </c>
    </row>
    <row r="1327" spans="1:10">
      <c r="A1327" s="252" t="e">
        <f>IF(D1327=0,0,A1326+1)</f>
        <v>#N/A</v>
      </c>
      <c r="B1327" s="258" t="s">
        <v>159</v>
      </c>
      <c r="C1327" s="252" t="s">
        <v>156</v>
      </c>
      <c r="D1327" s="257" t="e">
        <f>VLOOKUP($F$47,'Анализ стоимости'!$A$4:$DK$59,66,0)</f>
        <v>#N/A</v>
      </c>
      <c r="J1327" s="136" t="e">
        <f t="shared" si="171"/>
        <v>#N/A</v>
      </c>
    </row>
    <row r="1328" spans="1:10">
      <c r="A1328" s="252" t="e">
        <f>IF(D1328=0,0,A1327+1)</f>
        <v>#N/A</v>
      </c>
      <c r="B1328" s="258" t="s">
        <v>203</v>
      </c>
      <c r="C1328" s="252" t="s">
        <v>156</v>
      </c>
      <c r="D1328" s="257" t="e">
        <f>SUM(D1326:D1327)</f>
        <v>#N/A</v>
      </c>
      <c r="E1328" s="254" t="e">
        <f>VLOOKUP($F$47,'Анализ стоимости'!$A$4:$DK$59,77,0)</f>
        <v>#N/A</v>
      </c>
      <c r="J1328" s="136" t="e">
        <f t="shared" si="171"/>
        <v>#N/A</v>
      </c>
    </row>
    <row r="1329" spans="1:10">
      <c r="A1329" s="252" t="e">
        <f>IF(D1329=0,0,A1328+1)</f>
        <v>#N/A</v>
      </c>
      <c r="B1329" s="258" t="s">
        <v>158</v>
      </c>
      <c r="C1329" s="252" t="s">
        <v>156</v>
      </c>
      <c r="D1329" s="257" t="e">
        <f>IF(OR(D1325=0,D1328=0),0,D1328+D1325)</f>
        <v>#N/A</v>
      </c>
      <c r="E1329" s="254" t="e">
        <f>VLOOKUP($F$47,'Анализ стоимости'!$A$4:$DK$59,67,0)</f>
        <v>#N/A</v>
      </c>
      <c r="J1329" s="136" t="e">
        <f t="shared" si="171"/>
        <v>#N/A</v>
      </c>
    </row>
    <row r="1330" spans="1:10">
      <c r="A1330" s="262"/>
      <c r="B1330" s="262"/>
      <c r="C1330" s="262"/>
      <c r="D1330" s="263"/>
      <c r="J1330" s="136" t="str">
        <f>IF($F$47=0,"",1)</f>
        <v/>
      </c>
    </row>
    <row r="1331" spans="1:10" ht="31.5" customHeight="1">
      <c r="A1331" s="289" t="str">
        <f>'Анализ стоимости'!M$52</f>
        <v>Заместитель главы Вышестеблиевского сельского поселения Темрюкского района</v>
      </c>
      <c r="B1331" s="290"/>
      <c r="C1331" s="264"/>
      <c r="D1331" s="265" t="str">
        <f>CONCATENATE("_____________________ ",'Анализ стоимости'!M$53)</f>
        <v>_____________________ Н.Д.Шевченко</v>
      </c>
      <c r="G1331" s="267" t="str">
        <f>A1331</f>
        <v>Заместитель главы Вышестеблиевского сельского поселения Темрюкского района</v>
      </c>
      <c r="J1331" s="136" t="str">
        <f>IF($F$12=0,"",1)</f>
        <v/>
      </c>
    </row>
    <row r="1332" spans="1:10" s="237" customFormat="1" ht="5.25">
      <c r="A1332" s="269"/>
      <c r="B1332" s="269"/>
      <c r="C1332" s="269"/>
      <c r="D1332" s="270"/>
      <c r="G1332" s="238"/>
      <c r="H1332" s="238"/>
      <c r="I1332" s="273"/>
      <c r="J1332" s="277" t="str">
        <f>IF($F$12=0,"",1)</f>
        <v/>
      </c>
    </row>
    <row r="1333" spans="1:10">
      <c r="A1333" s="291">
        <f ca="1">TODAY()</f>
        <v>41941</v>
      </c>
      <c r="B1333" s="291"/>
      <c r="C1333" s="224"/>
      <c r="D1333" s="224"/>
      <c r="J1333" s="136" t="str">
        <f>IF($F$47=0,"",1)</f>
        <v/>
      </c>
    </row>
    <row r="1334" spans="1:10">
      <c r="A1334" s="295" t="s">
        <v>243</v>
      </c>
      <c r="B1334" s="295"/>
      <c r="C1334" s="295"/>
      <c r="D1334" s="295"/>
      <c r="G1334" s="226"/>
      <c r="H1334" s="226"/>
      <c r="J1334" s="136" t="str">
        <f t="shared" ref="J1334:J1351" si="172">IF($F$48=0,"",1)</f>
        <v/>
      </c>
    </row>
    <row r="1335" spans="1:10">
      <c r="A1335" s="296" t="e">
        <f>CONCATENATE("Наименование объекта: ",VLOOKUP($F$48,'Анализ стоимости'!$A$4:$DK$59,11+2,0))</f>
        <v>#N/A</v>
      </c>
      <c r="B1335" s="296"/>
      <c r="C1335" s="296"/>
      <c r="D1335" s="296"/>
      <c r="I1335" s="276" t="e">
        <f>A1335</f>
        <v>#N/A</v>
      </c>
      <c r="J1335" s="136" t="str">
        <f t="shared" si="172"/>
        <v/>
      </c>
    </row>
    <row r="1336" spans="1:10" s="237" customFormat="1" ht="5.25">
      <c r="A1336" s="246"/>
      <c r="B1336" s="235"/>
      <c r="C1336" s="235"/>
      <c r="D1336" s="235"/>
      <c r="G1336" s="238"/>
      <c r="H1336" s="238"/>
      <c r="I1336" s="273"/>
      <c r="J1336" s="277" t="str">
        <f t="shared" si="172"/>
        <v/>
      </c>
    </row>
    <row r="1337" spans="1:10">
      <c r="A1337" s="248" t="s">
        <v>149</v>
      </c>
      <c r="B1337" s="241"/>
      <c r="C1337" s="241"/>
      <c r="D1337" s="241"/>
      <c r="J1337" s="136" t="str">
        <f t="shared" si="172"/>
        <v/>
      </c>
    </row>
    <row r="1338" spans="1:10">
      <c r="A1338" s="297" t="s">
        <v>150</v>
      </c>
      <c r="B1338" s="297"/>
      <c r="C1338" s="297"/>
      <c r="D1338" s="297"/>
      <c r="J1338" s="136" t="str">
        <f t="shared" si="172"/>
        <v/>
      </c>
    </row>
    <row r="1339" spans="1:10" ht="47.25" customHeight="1">
      <c r="A1339" s="249" t="s">
        <v>53</v>
      </c>
      <c r="B1339" s="249" t="s">
        <v>87</v>
      </c>
      <c r="C1339" s="298" t="e">
        <f>CONCATENATE("Стоимость  согласно сметной документации (руб.) в текущих ценах по состоянию на ",VLOOKUP($F$48,'Анализ стоимости'!$A$4:$BY$59,6+2,0)," г.")</f>
        <v>#N/A</v>
      </c>
      <c r="D1339" s="299"/>
      <c r="H1339" s="250" t="e">
        <f>C1339</f>
        <v>#N/A</v>
      </c>
      <c r="J1339" s="136" t="str">
        <f t="shared" si="172"/>
        <v/>
      </c>
    </row>
    <row r="1340" spans="1:10">
      <c r="A1340" s="252">
        <v>1</v>
      </c>
      <c r="B1340" s="253" t="s">
        <v>28</v>
      </c>
      <c r="C1340" s="292" t="e">
        <f>VLOOKUP($F$48,'Анализ стоимости'!$A$4:$BY$59,12+2,0)</f>
        <v>#N/A</v>
      </c>
      <c r="D1340" s="293"/>
      <c r="J1340" s="136" t="str">
        <f t="shared" si="172"/>
        <v/>
      </c>
    </row>
    <row r="1341" spans="1:10">
      <c r="A1341" s="252">
        <v>2</v>
      </c>
      <c r="B1341" s="253" t="s">
        <v>23</v>
      </c>
      <c r="C1341" s="292" t="e">
        <f>VLOOKUP($F$48,'Анализ стоимости'!$A$4:$DK$59,13+2,0)</f>
        <v>#N/A</v>
      </c>
      <c r="D1341" s="293"/>
      <c r="J1341" s="136" t="str">
        <f t="shared" si="172"/>
        <v/>
      </c>
    </row>
    <row r="1342" spans="1:10" ht="31.5">
      <c r="A1342" s="252">
        <v>3</v>
      </c>
      <c r="B1342" s="253" t="s">
        <v>2</v>
      </c>
      <c r="C1342" s="292" t="e">
        <f>VLOOKUP($F$48,'Анализ стоимости'!$A$4:$DK$59,14+2,0)</f>
        <v>#N/A</v>
      </c>
      <c r="D1342" s="293"/>
      <c r="J1342" s="136" t="str">
        <f t="shared" si="172"/>
        <v/>
      </c>
    </row>
    <row r="1343" spans="1:10">
      <c r="A1343" s="252">
        <v>4</v>
      </c>
      <c r="B1343" s="253" t="s">
        <v>24</v>
      </c>
      <c r="C1343" s="292" t="e">
        <f>VLOOKUP($F$48,'Анализ стоимости'!$A$4:$DK$59,15+2,0)</f>
        <v>#N/A</v>
      </c>
      <c r="D1343" s="293"/>
      <c r="J1343" s="136" t="str">
        <f t="shared" si="172"/>
        <v/>
      </c>
    </row>
    <row r="1344" spans="1:10">
      <c r="A1344" s="252">
        <v>5</v>
      </c>
      <c r="B1344" s="253" t="s">
        <v>5</v>
      </c>
      <c r="C1344" s="292" t="e">
        <f>VLOOKUP($F$48,'Анализ стоимости'!$A$4:$DK$59,16+2,0)</f>
        <v>#N/A</v>
      </c>
      <c r="D1344" s="293"/>
      <c r="J1344" s="136" t="str">
        <f t="shared" si="172"/>
        <v/>
      </c>
    </row>
    <row r="1345" spans="1:10">
      <c r="A1345" s="252">
        <v>6</v>
      </c>
      <c r="B1345" s="253" t="s">
        <v>10</v>
      </c>
      <c r="C1345" s="292" t="e">
        <f>VLOOKUP($F$48,'Анализ стоимости'!$A$4:$DK$59,20+2,0)</f>
        <v>#N/A</v>
      </c>
      <c r="D1345" s="293"/>
      <c r="J1345" s="136" t="str">
        <f t="shared" si="172"/>
        <v/>
      </c>
    </row>
    <row r="1346" spans="1:10">
      <c r="A1346" s="252">
        <v>7</v>
      </c>
      <c r="B1346" s="253" t="s">
        <v>79</v>
      </c>
      <c r="C1346" s="292" t="e">
        <f>VLOOKUP($F$48,'Анализ стоимости'!$A$4:$DK$59,21+2,0)+VLOOKUP($F$48,'Анализ стоимости'!$A$4:$DK$59,23+2,0)+VLOOKUP($F$48,'Анализ стоимости'!$A$4:$DK$59,24+2,0)+VLOOKUP($F$48,'Анализ стоимости'!$A$4:$DK$59,25+2,0)+VLOOKUP($F$48,'Анализ стоимости'!$A$4:$DK$59,26+2,0)+VLOOKUP($F$48,'Анализ стоимости'!$A$4:$DK$59,27+2,0)+VLOOKUP($F$48,'Анализ стоимости'!$A$4:$DK$59,28+2,0)+VLOOKUP($F$48,'Анализ стоимости'!$A$4:$DK$59,29+2,0)</f>
        <v>#N/A</v>
      </c>
      <c r="D1346" s="293"/>
      <c r="J1346" s="136" t="str">
        <f t="shared" si="172"/>
        <v/>
      </c>
    </row>
    <row r="1347" spans="1:10">
      <c r="A1347" s="252">
        <v>8</v>
      </c>
      <c r="B1347" s="253" t="s">
        <v>46</v>
      </c>
      <c r="C1347" s="292" t="e">
        <f>VLOOKUP($F$48,'Анализ стоимости'!$A$4:$DK$59,34+2,0)</f>
        <v>#N/A</v>
      </c>
      <c r="D1347" s="293"/>
      <c r="J1347" s="136" t="str">
        <f t="shared" si="172"/>
        <v/>
      </c>
    </row>
    <row r="1348" spans="1:10">
      <c r="A1348" s="252">
        <v>9</v>
      </c>
      <c r="B1348" s="253" t="s">
        <v>169</v>
      </c>
      <c r="C1348" s="292" t="e">
        <f>SUM(C1340:D1347)</f>
        <v>#N/A</v>
      </c>
      <c r="D1348" s="293"/>
      <c r="J1348" s="136" t="str">
        <f t="shared" si="172"/>
        <v/>
      </c>
    </row>
    <row r="1349" spans="1:10">
      <c r="A1349" s="294" t="s">
        <v>161</v>
      </c>
      <c r="B1349" s="294"/>
      <c r="C1349" s="294"/>
      <c r="D1349" s="294"/>
      <c r="J1349" s="136" t="str">
        <f t="shared" si="172"/>
        <v/>
      </c>
    </row>
    <row r="1350" spans="1:10" ht="31.5">
      <c r="A1350" s="255" t="s">
        <v>53</v>
      </c>
      <c r="B1350" s="249" t="s">
        <v>15</v>
      </c>
      <c r="C1350" s="249" t="s">
        <v>152</v>
      </c>
      <c r="D1350" s="249" t="s">
        <v>88</v>
      </c>
      <c r="J1350" s="136" t="str">
        <f t="shared" si="172"/>
        <v/>
      </c>
    </row>
    <row r="1351" spans="1:10">
      <c r="A1351" s="252">
        <v>10</v>
      </c>
      <c r="B1351" s="252" t="e">
        <f>VLOOKUP((VLOOKUP($F$48,'Анализ стоимости'!$A$4:$BY$59,12,0)),'Расчет инфляции'!$BD$5:$BE$22,2,0)</f>
        <v>#N/A</v>
      </c>
      <c r="C1351" s="252"/>
      <c r="D1351" s="253"/>
      <c r="J1351" s="136" t="str">
        <f t="shared" si="172"/>
        <v/>
      </c>
    </row>
    <row r="1352" spans="1:10">
      <c r="A1352" s="252" t="e">
        <f>IF(D1352=0,0,A1351+1)</f>
        <v>#N/A</v>
      </c>
      <c r="B1352" s="253" t="e">
        <f>CONCATENATE("2014 г. (",CHOOSE(VLOOKUP(F$48,'Анализ стоимости'!$A$4:$DK$90,68,0),"Январь","Февраль","Март","Апрель","Май","Июнь","Июль","Август","Сентябрь","Октябрь","Ноябрь","Декабрь")," - ",CHOOSE(VLOOKUP(F$48,'Анализ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352" s="252" t="s">
        <v>153</v>
      </c>
      <c r="D1352" s="278" t="e">
        <f>IF(D1354=0,0,VLOOKUP($F$48,'Анализ стоимости'!$A$4:$DK$59,74,0)*100+100)</f>
        <v>#N/A</v>
      </c>
      <c r="J1352" s="136" t="e">
        <f>IF(D1352=0,"",1)</f>
        <v>#N/A</v>
      </c>
    </row>
    <row r="1353" spans="1:10">
      <c r="A1353" s="252" t="e">
        <f>IF(D1353=0,0,IF(D1352=0,A1351+1,A1352+1))</f>
        <v>#N/A</v>
      </c>
      <c r="B1353" s="253" t="e">
        <f>CONCATENATE("2015 г. (",CHOOSE(VLOOKUP(F$48,'Анализ стоимости'!$A$4:$DK$90,70,0),"Январь","Февраль","Март","Апрель","Май","Июнь","Июль","Август","Сентябрь","Октябрь","Ноябрь","Декабрь")," - ",CHOOSE(VLOOKUP(F$48,'Анализ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353" s="252" t="s">
        <v>153</v>
      </c>
      <c r="D1353" s="278" t="e">
        <f>IF(D1355=0,0,VLOOKUP($F$48,'Анализ стоимости'!$A$4:$DK$59,75,0)*100+100)</f>
        <v>#N/A</v>
      </c>
      <c r="J1353" s="136" t="e">
        <f t="shared" ref="J1353:J1354" si="173">IF(D1353=0,"",1)</f>
        <v>#N/A</v>
      </c>
    </row>
    <row r="1354" spans="1:10">
      <c r="A1354" s="252" t="e">
        <f>IF(D1354=0,0,IF(D1353=0,A1352+1,A1353+1))</f>
        <v>#N/A</v>
      </c>
      <c r="B1354" s="253" t="s">
        <v>154</v>
      </c>
      <c r="C1354" s="252" t="s">
        <v>156</v>
      </c>
      <c r="D1354" s="257" t="e">
        <f>VLOOKUP($F$48,'Анализ стоимости'!$A$4:$DK$59,51,0)</f>
        <v>#N/A</v>
      </c>
      <c r="J1354" s="136" t="e">
        <f t="shared" si="173"/>
        <v>#N/A</v>
      </c>
    </row>
    <row r="1355" spans="1:10">
      <c r="A1355" s="252" t="e">
        <f>IF(D1355=0,0,IF(D1354=0,A1353+1,A1354+1))</f>
        <v>#N/A</v>
      </c>
      <c r="B1355" s="253" t="s">
        <v>155</v>
      </c>
      <c r="C1355" s="252" t="s">
        <v>156</v>
      </c>
      <c r="D1355" s="257" t="e">
        <f>VLOOKUP($F$48,'Анализ стоимости'!$A$4:$DK$59,61,0)</f>
        <v>#N/A</v>
      </c>
      <c r="J1355" s="136" t="e">
        <f>IF(D1355=0,"",1)</f>
        <v>#N/A</v>
      </c>
    </row>
    <row r="1356" spans="1:10">
      <c r="A1356" s="294" t="s">
        <v>157</v>
      </c>
      <c r="B1356" s="294"/>
      <c r="C1356" s="294"/>
      <c r="D1356" s="294"/>
      <c r="J1356" s="136" t="str">
        <f>IF($F$48=0,"",1)</f>
        <v/>
      </c>
    </row>
    <row r="1357" spans="1:10" ht="31.5">
      <c r="A1357" s="252" t="e">
        <f>IF(D1357=0,0,IF(D1355=0,IF(D1354=0,A1351+1,A1354+1),A1355+1))</f>
        <v>#N/A</v>
      </c>
      <c r="B1357" s="258" t="s">
        <v>206</v>
      </c>
      <c r="C1357" s="252" t="s">
        <v>156</v>
      </c>
      <c r="D1357" s="257" t="e">
        <f>SUM(VLOOKUP($F$48,'Анализ стоимости'!$A$4:$DK$59,46,0),D1354)</f>
        <v>#N/A</v>
      </c>
      <c r="E1357" s="136"/>
      <c r="J1357" s="136" t="e">
        <f t="shared" ref="J1357:J1363" si="174">IF(D1357=0,"",1)</f>
        <v>#N/A</v>
      </c>
    </row>
    <row r="1358" spans="1:10">
      <c r="A1358" s="252" t="e">
        <f>IF(D1358=0,0,A1357+1)</f>
        <v>#N/A</v>
      </c>
      <c r="B1358" s="258" t="s">
        <v>159</v>
      </c>
      <c r="C1358" s="252" t="s">
        <v>156</v>
      </c>
      <c r="D1358" s="257" t="e">
        <f>VLOOKUP($F$48,'Анализ стоимости'!$A$4:$DK$59,56,0)</f>
        <v>#N/A</v>
      </c>
      <c r="E1358" s="136"/>
      <c r="J1358" s="136" t="e">
        <f t="shared" si="174"/>
        <v>#N/A</v>
      </c>
    </row>
    <row r="1359" spans="1:10">
      <c r="A1359" s="252" t="e">
        <f>IF(D1359=0,0,A1358+1)</f>
        <v>#N/A</v>
      </c>
      <c r="B1359" s="258" t="s">
        <v>205</v>
      </c>
      <c r="C1359" s="252" t="s">
        <v>156</v>
      </c>
      <c r="D1359" s="257" t="e">
        <f>SUM(D1357:D1358)</f>
        <v>#N/A</v>
      </c>
      <c r="E1359" s="254" t="e">
        <f>VLOOKUP($F$48,'Анализ стоимости'!$A$4:$DK$59,76,0)</f>
        <v>#N/A</v>
      </c>
      <c r="J1359" s="136" t="e">
        <f t="shared" si="174"/>
        <v>#N/A</v>
      </c>
    </row>
    <row r="1360" spans="1:10" ht="31.5">
      <c r="A1360" s="252" t="e">
        <f>IF(D1360=0,0,IF(D1359=0,IF(D1355=0,A1351+1,A1355+1),A1359+1))</f>
        <v>#N/A</v>
      </c>
      <c r="B1360" s="258" t="s">
        <v>204</v>
      </c>
      <c r="C1360" s="252" t="s">
        <v>156</v>
      </c>
      <c r="D1360" s="257" t="e">
        <f>VLOOKUP($F$48,'Анализ стоимости'!$A$4:$DK$59,41,0)-VLOOKUP($F$48,'Анализ стоимости'!$A$4:$DK$59,46,0)+D1355</f>
        <v>#N/A</v>
      </c>
      <c r="J1360" s="136" t="e">
        <f t="shared" si="174"/>
        <v>#N/A</v>
      </c>
    </row>
    <row r="1361" spans="1:10">
      <c r="A1361" s="252" t="e">
        <f>IF(D1361=0,0,A1360+1)</f>
        <v>#N/A</v>
      </c>
      <c r="B1361" s="258" t="s">
        <v>159</v>
      </c>
      <c r="C1361" s="252" t="s">
        <v>156</v>
      </c>
      <c r="D1361" s="257" t="e">
        <f>VLOOKUP($F$48,'Анализ стоимости'!$A$4:$DK$59,66,0)</f>
        <v>#N/A</v>
      </c>
      <c r="J1361" s="136" t="e">
        <f t="shared" si="174"/>
        <v>#N/A</v>
      </c>
    </row>
    <row r="1362" spans="1:10">
      <c r="A1362" s="252" t="e">
        <f>IF(D1362=0,0,A1361+1)</f>
        <v>#N/A</v>
      </c>
      <c r="B1362" s="258" t="s">
        <v>203</v>
      </c>
      <c r="C1362" s="252" t="s">
        <v>156</v>
      </c>
      <c r="D1362" s="257" t="e">
        <f>SUM(D1360:D1361)</f>
        <v>#N/A</v>
      </c>
      <c r="E1362" s="254" t="e">
        <f>VLOOKUP($F$48,'Анализ стоимости'!$A$4:$DK$59,77,0)</f>
        <v>#N/A</v>
      </c>
      <c r="J1362" s="136" t="e">
        <f t="shared" si="174"/>
        <v>#N/A</v>
      </c>
    </row>
    <row r="1363" spans="1:10">
      <c r="A1363" s="252" t="e">
        <f>IF(D1363=0,0,A1362+1)</f>
        <v>#N/A</v>
      </c>
      <c r="B1363" s="258" t="s">
        <v>158</v>
      </c>
      <c r="C1363" s="252" t="s">
        <v>156</v>
      </c>
      <c r="D1363" s="257" t="e">
        <f>IF(OR(D1359=0,D1362=0),0,D1362+D1359)</f>
        <v>#N/A</v>
      </c>
      <c r="E1363" s="254" t="e">
        <f>VLOOKUP($F$48,'Анализ стоимости'!$A$4:$DK$59,67,0)</f>
        <v>#N/A</v>
      </c>
      <c r="J1363" s="136" t="e">
        <f t="shared" si="174"/>
        <v>#N/A</v>
      </c>
    </row>
    <row r="1364" spans="1:10">
      <c r="A1364" s="262"/>
      <c r="B1364" s="262"/>
      <c r="C1364" s="262"/>
      <c r="D1364" s="263"/>
      <c r="J1364" s="136" t="str">
        <f>IF($F$48=0,"",1)</f>
        <v/>
      </c>
    </row>
    <row r="1365" spans="1:10" ht="31.5" customHeight="1">
      <c r="A1365" s="289" t="str">
        <f>'Анализ стоимости'!M$52</f>
        <v>Заместитель главы Вышестеблиевского сельского поселения Темрюкского района</v>
      </c>
      <c r="B1365" s="290"/>
      <c r="C1365" s="264"/>
      <c r="D1365" s="265" t="str">
        <f>CONCATENATE("_____________________ ",'Анализ стоимости'!M$53)</f>
        <v>_____________________ Н.Д.Шевченко</v>
      </c>
      <c r="G1365" s="267" t="str">
        <f>A1365</f>
        <v>Заместитель главы Вышестеблиевского сельского поселения Темрюкского района</v>
      </c>
      <c r="J1365" s="136" t="str">
        <f>IF($F$12=0,"",1)</f>
        <v/>
      </c>
    </row>
    <row r="1366" spans="1:10" s="237" customFormat="1" ht="5.25">
      <c r="A1366" s="269"/>
      <c r="B1366" s="269"/>
      <c r="C1366" s="269"/>
      <c r="D1366" s="270"/>
      <c r="G1366" s="238"/>
      <c r="H1366" s="238"/>
      <c r="I1366" s="273"/>
      <c r="J1366" s="277" t="str">
        <f>IF($F$12=0,"",1)</f>
        <v/>
      </c>
    </row>
    <row r="1367" spans="1:10">
      <c r="A1367" s="291">
        <f ca="1">TODAY()</f>
        <v>41941</v>
      </c>
      <c r="B1367" s="291"/>
      <c r="C1367" s="224"/>
      <c r="D1367" s="224"/>
      <c r="J1367" s="136" t="str">
        <f>IF($F$48=0,"",1)</f>
        <v/>
      </c>
    </row>
    <row r="1368" spans="1:10">
      <c r="A1368" s="295" t="s">
        <v>244</v>
      </c>
      <c r="B1368" s="295"/>
      <c r="C1368" s="295"/>
      <c r="D1368" s="295"/>
      <c r="G1368" s="226"/>
      <c r="H1368" s="226"/>
      <c r="J1368" s="136" t="str">
        <f t="shared" ref="J1368:J1385" si="175">IF($F$49=0,"",1)</f>
        <v/>
      </c>
    </row>
    <row r="1369" spans="1:10">
      <c r="A1369" s="296" t="e">
        <f>CONCATENATE("Наименование объекта: ",VLOOKUP($F$49,'Анализ стоимости'!$A$4:$DK$59,11+2,0))</f>
        <v>#N/A</v>
      </c>
      <c r="B1369" s="296"/>
      <c r="C1369" s="296"/>
      <c r="D1369" s="296"/>
      <c r="I1369" s="276" t="e">
        <f>A1369</f>
        <v>#N/A</v>
      </c>
      <c r="J1369" s="136" t="str">
        <f t="shared" si="175"/>
        <v/>
      </c>
    </row>
    <row r="1370" spans="1:10" s="237" customFormat="1" ht="5.25">
      <c r="A1370" s="246"/>
      <c r="B1370" s="235"/>
      <c r="C1370" s="235"/>
      <c r="D1370" s="235"/>
      <c r="G1370" s="238"/>
      <c r="H1370" s="238"/>
      <c r="I1370" s="273"/>
      <c r="J1370" s="277" t="str">
        <f t="shared" si="175"/>
        <v/>
      </c>
    </row>
    <row r="1371" spans="1:10">
      <c r="A1371" s="248" t="s">
        <v>149</v>
      </c>
      <c r="B1371" s="241"/>
      <c r="C1371" s="241"/>
      <c r="D1371" s="241"/>
      <c r="J1371" s="136" t="str">
        <f t="shared" si="175"/>
        <v/>
      </c>
    </row>
    <row r="1372" spans="1:10">
      <c r="A1372" s="297" t="s">
        <v>150</v>
      </c>
      <c r="B1372" s="297"/>
      <c r="C1372" s="297"/>
      <c r="D1372" s="297"/>
      <c r="J1372" s="136" t="str">
        <f t="shared" si="175"/>
        <v/>
      </c>
    </row>
    <row r="1373" spans="1:10" ht="47.25" customHeight="1">
      <c r="A1373" s="249" t="s">
        <v>53</v>
      </c>
      <c r="B1373" s="249" t="s">
        <v>87</v>
      </c>
      <c r="C1373" s="298" t="e">
        <f>CONCATENATE("Стоимость  согласно сметной документации (руб.) в текущих ценах по состоянию на ",VLOOKUP($F$49,'Анализ стоимости'!$A$4:$BY$59,6+2,0)," г.")</f>
        <v>#N/A</v>
      </c>
      <c r="D1373" s="299"/>
      <c r="H1373" s="250" t="e">
        <f>C1373</f>
        <v>#N/A</v>
      </c>
      <c r="J1373" s="136" t="str">
        <f t="shared" si="175"/>
        <v/>
      </c>
    </row>
    <row r="1374" spans="1:10">
      <c r="A1374" s="252">
        <v>1</v>
      </c>
      <c r="B1374" s="253" t="s">
        <v>28</v>
      </c>
      <c r="C1374" s="292" t="e">
        <f>VLOOKUP($F$49,'Анализ стоимости'!$A$4:$BY$59,12+2,0)</f>
        <v>#N/A</v>
      </c>
      <c r="D1374" s="293"/>
      <c r="J1374" s="136" t="str">
        <f t="shared" si="175"/>
        <v/>
      </c>
    </row>
    <row r="1375" spans="1:10">
      <c r="A1375" s="252">
        <v>2</v>
      </c>
      <c r="B1375" s="253" t="s">
        <v>23</v>
      </c>
      <c r="C1375" s="292" t="e">
        <f>VLOOKUP($F$49,'Анализ стоимости'!$A$4:$DK$59,13+2,0)</f>
        <v>#N/A</v>
      </c>
      <c r="D1375" s="293"/>
      <c r="J1375" s="136" t="str">
        <f t="shared" si="175"/>
        <v/>
      </c>
    </row>
    <row r="1376" spans="1:10" ht="31.5">
      <c r="A1376" s="252">
        <v>3</v>
      </c>
      <c r="B1376" s="253" t="s">
        <v>2</v>
      </c>
      <c r="C1376" s="292" t="e">
        <f>VLOOKUP($F$49,'Анализ стоимости'!$A$4:$DK$59,14+2,0)</f>
        <v>#N/A</v>
      </c>
      <c r="D1376" s="293"/>
      <c r="J1376" s="136" t="str">
        <f t="shared" si="175"/>
        <v/>
      </c>
    </row>
    <row r="1377" spans="1:10">
      <c r="A1377" s="252">
        <v>4</v>
      </c>
      <c r="B1377" s="253" t="s">
        <v>24</v>
      </c>
      <c r="C1377" s="292" t="e">
        <f>VLOOKUP($F$49,'Анализ стоимости'!$A$4:$DK$59,15+2,0)</f>
        <v>#N/A</v>
      </c>
      <c r="D1377" s="293"/>
      <c r="J1377" s="136" t="str">
        <f t="shared" si="175"/>
        <v/>
      </c>
    </row>
    <row r="1378" spans="1:10">
      <c r="A1378" s="252">
        <v>5</v>
      </c>
      <c r="B1378" s="253" t="s">
        <v>5</v>
      </c>
      <c r="C1378" s="292" t="e">
        <f>VLOOKUP($F$49,'Анализ стоимости'!$A$4:$DK$59,16+2,0)</f>
        <v>#N/A</v>
      </c>
      <c r="D1378" s="293"/>
      <c r="J1378" s="136" t="str">
        <f t="shared" si="175"/>
        <v/>
      </c>
    </row>
    <row r="1379" spans="1:10">
      <c r="A1379" s="252">
        <v>6</v>
      </c>
      <c r="B1379" s="253" t="s">
        <v>10</v>
      </c>
      <c r="C1379" s="292" t="e">
        <f>VLOOKUP($F$49,'Анализ стоимости'!$A$4:$DK$59,20+2,0)</f>
        <v>#N/A</v>
      </c>
      <c r="D1379" s="293"/>
      <c r="J1379" s="136" t="str">
        <f t="shared" si="175"/>
        <v/>
      </c>
    </row>
    <row r="1380" spans="1:10">
      <c r="A1380" s="252">
        <v>7</v>
      </c>
      <c r="B1380" s="253" t="s">
        <v>79</v>
      </c>
      <c r="C1380" s="292" t="e">
        <f>VLOOKUP($F$49,'Анализ стоимости'!$A$4:$DK$59,21+2,0)+VLOOKUP($F$49,'Анализ стоимости'!$A$4:$DK$59,23+2,0)+VLOOKUP($F$49,'Анализ стоимости'!$A$4:$DK$59,24+2,0)+VLOOKUP($F$49,'Анализ стоимости'!$A$4:$DK$59,25+2,0)+VLOOKUP($F$49,'Анализ стоимости'!$A$4:$DK$59,26+2,0)+VLOOKUP($F$49,'Анализ стоимости'!$A$4:$DK$59,27+2,0)+VLOOKUP($F$49,'Анализ стоимости'!$A$4:$DK$59,28+2,0)+VLOOKUP($F$49,'Анализ стоимости'!$A$4:$DK$59,29+2,0)</f>
        <v>#N/A</v>
      </c>
      <c r="D1380" s="293"/>
      <c r="J1380" s="136" t="str">
        <f t="shared" si="175"/>
        <v/>
      </c>
    </row>
    <row r="1381" spans="1:10">
      <c r="A1381" s="252">
        <v>8</v>
      </c>
      <c r="B1381" s="253" t="s">
        <v>46</v>
      </c>
      <c r="C1381" s="292" t="e">
        <f>VLOOKUP($F$49,'Анализ стоимости'!$A$4:$DK$59,34+2,0)</f>
        <v>#N/A</v>
      </c>
      <c r="D1381" s="293"/>
      <c r="J1381" s="136" t="str">
        <f t="shared" si="175"/>
        <v/>
      </c>
    </row>
    <row r="1382" spans="1:10">
      <c r="A1382" s="252">
        <v>9</v>
      </c>
      <c r="B1382" s="253" t="s">
        <v>169</v>
      </c>
      <c r="C1382" s="292" t="e">
        <f>SUM(C1374:D1381)</f>
        <v>#N/A</v>
      </c>
      <c r="D1382" s="293"/>
      <c r="J1382" s="136" t="str">
        <f t="shared" si="175"/>
        <v/>
      </c>
    </row>
    <row r="1383" spans="1:10">
      <c r="A1383" s="294" t="s">
        <v>161</v>
      </c>
      <c r="B1383" s="294"/>
      <c r="C1383" s="294"/>
      <c r="D1383" s="294"/>
      <c r="J1383" s="136" t="str">
        <f t="shared" si="175"/>
        <v/>
      </c>
    </row>
    <row r="1384" spans="1:10" ht="31.5">
      <c r="A1384" s="255" t="s">
        <v>53</v>
      </c>
      <c r="B1384" s="249" t="s">
        <v>15</v>
      </c>
      <c r="C1384" s="249" t="s">
        <v>152</v>
      </c>
      <c r="D1384" s="249" t="s">
        <v>88</v>
      </c>
      <c r="J1384" s="136" t="str">
        <f t="shared" si="175"/>
        <v/>
      </c>
    </row>
    <row r="1385" spans="1:10">
      <c r="A1385" s="252">
        <v>10</v>
      </c>
      <c r="B1385" s="252" t="e">
        <f>VLOOKUP((VLOOKUP($F$49,'Анализ стоимости'!$A$4:$BY$59,12,0)),'Расчет инфляции'!$BD$5:$BE$22,2,0)</f>
        <v>#N/A</v>
      </c>
      <c r="C1385" s="252"/>
      <c r="D1385" s="253"/>
      <c r="J1385" s="136" t="str">
        <f t="shared" si="175"/>
        <v/>
      </c>
    </row>
    <row r="1386" spans="1:10">
      <c r="A1386" s="252" t="e">
        <f>IF(D1386=0,0,A1385+1)</f>
        <v>#N/A</v>
      </c>
      <c r="B1386" s="253" t="e">
        <f>CONCATENATE("2014 г. (",CHOOSE(VLOOKUP(F$49,'Анализ стоимости'!$A$4:$DK$90,68,0),"Январь","Февраль","Март","Апрель","Май","Июнь","Июль","Август","Сентябрь","Октябрь","Ноябрь","Декабрь")," - ",CHOOSE(VLOOKUP(F$49,'Анализ стоимости'!$A$4:$DK$90,69,0),"Январь","Февраль","Март","Апрель","Май","Июнь","Июль","Август","Сентябрь","Октябрь","Ноябрь","Декабрь"),")")</f>
        <v>#N/A</v>
      </c>
      <c r="C1386" s="252" t="s">
        <v>153</v>
      </c>
      <c r="D1386" s="278" t="e">
        <f>IF(D1388=0,0,VLOOKUP($F$49,'Анализ стоимости'!$A$4:$DK$59,74,0)*100+100)</f>
        <v>#N/A</v>
      </c>
      <c r="J1386" s="136" t="e">
        <f>IF(D1386=0,"",1)</f>
        <v>#N/A</v>
      </c>
    </row>
    <row r="1387" spans="1:10">
      <c r="A1387" s="252" t="e">
        <f>IF(D1387=0,0,IF(D1386=0,A1385+1,A1386+1))</f>
        <v>#N/A</v>
      </c>
      <c r="B1387" s="253" t="e">
        <f>CONCATENATE("2015 г. (",CHOOSE(VLOOKUP(F$49,'Анализ стоимости'!$A$4:$DK$90,70,0),"Январь","Февраль","Март","Апрель","Май","Июнь","Июль","Август","Сентябрь","Октябрь","Ноябрь","Декабрь")," - ",CHOOSE(VLOOKUP(F$49,'Анализ стоимости'!$A$4:$DK$90,71,0),"Январь","Февраль","Март","Апрель","Май","Июнь","Июль","Август","Сентябрь","Октябрь","Ноябрь","Декабрь"),")")</f>
        <v>#N/A</v>
      </c>
      <c r="C1387" s="252" t="s">
        <v>153</v>
      </c>
      <c r="D1387" s="278" t="e">
        <f>IF(D1389=0,0,VLOOKUP($F$49,'Анализ стоимости'!$A$4:$DK$59,75,0)*100+100)</f>
        <v>#N/A</v>
      </c>
      <c r="J1387" s="136" t="e">
        <f t="shared" ref="J1387:J1388" si="176">IF(D1387=0,"",1)</f>
        <v>#N/A</v>
      </c>
    </row>
    <row r="1388" spans="1:10">
      <c r="A1388" s="252" t="e">
        <f>IF(D1388=0,0,IF(D1387=0,A1386+1,A1387+1))</f>
        <v>#N/A</v>
      </c>
      <c r="B1388" s="253" t="s">
        <v>154</v>
      </c>
      <c r="C1388" s="252" t="s">
        <v>156</v>
      </c>
      <c r="D1388" s="257" t="e">
        <f>VLOOKUP($F$49,'Анализ стоимости'!$A$4:$DK$59,51,0)</f>
        <v>#N/A</v>
      </c>
      <c r="J1388" s="136" t="e">
        <f t="shared" si="176"/>
        <v>#N/A</v>
      </c>
    </row>
    <row r="1389" spans="1:10">
      <c r="A1389" s="252" t="e">
        <f>IF(D1389=0,0,IF(D1388=0,A1387+1,A1388+1))</f>
        <v>#N/A</v>
      </c>
      <c r="B1389" s="253" t="s">
        <v>155</v>
      </c>
      <c r="C1389" s="252" t="s">
        <v>156</v>
      </c>
      <c r="D1389" s="257" t="e">
        <f>VLOOKUP($F$49,'Анализ стоимости'!$A$4:$DK$59,61,0)</f>
        <v>#N/A</v>
      </c>
      <c r="J1389" s="136" t="e">
        <f>IF(D1389=0,"",1)</f>
        <v>#N/A</v>
      </c>
    </row>
    <row r="1390" spans="1:10">
      <c r="A1390" s="294" t="s">
        <v>157</v>
      </c>
      <c r="B1390" s="294"/>
      <c r="C1390" s="294"/>
      <c r="D1390" s="294"/>
      <c r="J1390" s="136" t="str">
        <f>IF($F$49=0,"",1)</f>
        <v/>
      </c>
    </row>
    <row r="1391" spans="1:10" ht="31.5">
      <c r="A1391" s="252" t="e">
        <f>IF(D1391=0,0,IF(D1389=0,IF(D1388=0,A1385+1,A1388+1),A1389+1))</f>
        <v>#N/A</v>
      </c>
      <c r="B1391" s="258" t="s">
        <v>206</v>
      </c>
      <c r="C1391" s="252" t="s">
        <v>156</v>
      </c>
      <c r="D1391" s="257" t="e">
        <f>SUM(VLOOKUP($F$49,'Анализ стоимости'!$A$4:$DK$59,46,0),D1388)</f>
        <v>#N/A</v>
      </c>
      <c r="E1391" s="136"/>
      <c r="J1391" s="136" t="e">
        <f t="shared" ref="J1391:J1397" si="177">IF(D1391=0,"",1)</f>
        <v>#N/A</v>
      </c>
    </row>
    <row r="1392" spans="1:10">
      <c r="A1392" s="252" t="e">
        <f>IF(D1392=0,0,A1391+1)</f>
        <v>#N/A</v>
      </c>
      <c r="B1392" s="258" t="s">
        <v>159</v>
      </c>
      <c r="C1392" s="252" t="s">
        <v>156</v>
      </c>
      <c r="D1392" s="257" t="e">
        <f>VLOOKUP($F$49,'Анализ стоимости'!$A$4:$DK$59,56,0)</f>
        <v>#N/A</v>
      </c>
      <c r="E1392" s="136"/>
      <c r="J1392" s="136" t="e">
        <f t="shared" si="177"/>
        <v>#N/A</v>
      </c>
    </row>
    <row r="1393" spans="1:10">
      <c r="A1393" s="252" t="e">
        <f>IF(D1393=0,0,A1392+1)</f>
        <v>#N/A</v>
      </c>
      <c r="B1393" s="258" t="s">
        <v>205</v>
      </c>
      <c r="C1393" s="252" t="s">
        <v>156</v>
      </c>
      <c r="D1393" s="257" t="e">
        <f>SUM(D1391:D1392)</f>
        <v>#N/A</v>
      </c>
      <c r="E1393" s="254" t="e">
        <f>VLOOKUP($F$49,'Анализ стоимости'!$A$4:$DK$59,76,0)</f>
        <v>#N/A</v>
      </c>
      <c r="J1393" s="136" t="e">
        <f t="shared" si="177"/>
        <v>#N/A</v>
      </c>
    </row>
    <row r="1394" spans="1:10" ht="31.5">
      <c r="A1394" s="252" t="e">
        <f>IF(D1394=0,0,IF(D1393=0,IF(D1389=0,A1385+1,A1389+1),A1393+1))</f>
        <v>#N/A</v>
      </c>
      <c r="B1394" s="258" t="s">
        <v>204</v>
      </c>
      <c r="C1394" s="252" t="s">
        <v>156</v>
      </c>
      <c r="D1394" s="257" t="e">
        <f>VLOOKUP($F$49,'Анализ стоимости'!$A$4:$DK$59,41,0)-VLOOKUP($F$49,'Анализ стоимости'!$A$4:$DK$59,46,0)+D1389</f>
        <v>#N/A</v>
      </c>
      <c r="J1394" s="136" t="e">
        <f t="shared" si="177"/>
        <v>#N/A</v>
      </c>
    </row>
    <row r="1395" spans="1:10">
      <c r="A1395" s="252" t="e">
        <f>IF(D1395=0,0,A1394+1)</f>
        <v>#N/A</v>
      </c>
      <c r="B1395" s="258" t="s">
        <v>159</v>
      </c>
      <c r="C1395" s="252" t="s">
        <v>156</v>
      </c>
      <c r="D1395" s="257" t="e">
        <f>VLOOKUP($F$49,'Анализ стоимости'!$A$4:$DK$59,66,0)</f>
        <v>#N/A</v>
      </c>
      <c r="J1395" s="136" t="e">
        <f t="shared" si="177"/>
        <v>#N/A</v>
      </c>
    </row>
    <row r="1396" spans="1:10">
      <c r="A1396" s="252" t="e">
        <f>IF(D1396=0,0,A1395+1)</f>
        <v>#N/A</v>
      </c>
      <c r="B1396" s="258" t="s">
        <v>203</v>
      </c>
      <c r="C1396" s="252" t="s">
        <v>156</v>
      </c>
      <c r="D1396" s="257" t="e">
        <f>SUM(D1394:D1395)</f>
        <v>#N/A</v>
      </c>
      <c r="E1396" s="254" t="e">
        <f>VLOOKUP($F$49,'Анализ стоимости'!$A$4:$DK$59,77,0)</f>
        <v>#N/A</v>
      </c>
      <c r="J1396" s="136" t="e">
        <f t="shared" si="177"/>
        <v>#N/A</v>
      </c>
    </row>
    <row r="1397" spans="1:10">
      <c r="A1397" s="252" t="e">
        <f>IF(D1397=0,0,A1396+1)</f>
        <v>#N/A</v>
      </c>
      <c r="B1397" s="258" t="s">
        <v>158</v>
      </c>
      <c r="C1397" s="252" t="s">
        <v>156</v>
      </c>
      <c r="D1397" s="257" t="e">
        <f>IF(OR(D1393=0,D1396=0),0,D1396+D1393)</f>
        <v>#N/A</v>
      </c>
      <c r="E1397" s="254" t="e">
        <f>VLOOKUP($F$49,'Анализ стоимости'!$A$4:$DK$59,67,0)</f>
        <v>#N/A</v>
      </c>
      <c r="J1397" s="136" t="e">
        <f t="shared" si="177"/>
        <v>#N/A</v>
      </c>
    </row>
    <row r="1398" spans="1:10">
      <c r="A1398" s="262"/>
      <c r="B1398" s="262"/>
      <c r="C1398" s="262"/>
      <c r="D1398" s="263"/>
      <c r="J1398" s="136" t="str">
        <f>IF($F$49=0,"",1)</f>
        <v/>
      </c>
    </row>
    <row r="1399" spans="1:10" ht="31.5" customHeight="1">
      <c r="A1399" s="289" t="str">
        <f>'Анализ стоимости'!M$52</f>
        <v>Заместитель главы Вышестеблиевского сельского поселения Темрюкского района</v>
      </c>
      <c r="B1399" s="290"/>
      <c r="C1399" s="264"/>
      <c r="D1399" s="265" t="str">
        <f>CONCATENATE("_____________________ ",'Анализ стоимости'!M$53)</f>
        <v>_____________________ Н.Д.Шевченко</v>
      </c>
      <c r="G1399" s="267" t="str">
        <f>A1399</f>
        <v>Заместитель главы Вышестеблиевского сельского поселения Темрюкского района</v>
      </c>
      <c r="J1399" s="136" t="str">
        <f>IF($F$12=0,"",1)</f>
        <v/>
      </c>
    </row>
    <row r="1400" spans="1:10" s="237" customFormat="1" ht="5.25">
      <c r="A1400" s="269"/>
      <c r="B1400" s="269"/>
      <c r="C1400" s="269"/>
      <c r="D1400" s="270"/>
      <c r="G1400" s="238"/>
      <c r="H1400" s="238"/>
      <c r="I1400" s="273"/>
      <c r="J1400" s="277" t="str">
        <f>IF($F$12=0,"",1)</f>
        <v/>
      </c>
    </row>
    <row r="1401" spans="1:10">
      <c r="A1401" s="291">
        <f ca="1">TODAY()</f>
        <v>41941</v>
      </c>
      <c r="B1401" s="291"/>
      <c r="C1401" s="224"/>
      <c r="D1401" s="224"/>
      <c r="J1401" s="136" t="str">
        <f>IF($F$49=0,"",1)</f>
        <v/>
      </c>
    </row>
  </sheetData>
  <sheetProtection password="CAE6" sheet="1" objects="1" scenarios="1" autoFilter="0"/>
  <autoFilter ref="J1:J1401"/>
  <mergeCells count="700">
    <mergeCell ref="C17:D17"/>
    <mergeCell ref="C18:D18"/>
    <mergeCell ref="C19:D19"/>
    <mergeCell ref="C20:D20"/>
    <mergeCell ref="C21:D21"/>
    <mergeCell ref="C22:D22"/>
    <mergeCell ref="A7:D7"/>
    <mergeCell ref="A8:D8"/>
    <mergeCell ref="A11:D11"/>
    <mergeCell ref="A12:D12"/>
    <mergeCell ref="A15:D15"/>
    <mergeCell ref="C16:D16"/>
    <mergeCell ref="A41:B41"/>
    <mergeCell ref="A42:D42"/>
    <mergeCell ref="A43:D43"/>
    <mergeCell ref="A46:D46"/>
    <mergeCell ref="C23:D23"/>
    <mergeCell ref="C24:D24"/>
    <mergeCell ref="C25:D25"/>
    <mergeCell ref="A26:D26"/>
    <mergeCell ref="A30:D30"/>
    <mergeCell ref="A39:B39"/>
    <mergeCell ref="C53:D53"/>
    <mergeCell ref="C54:D54"/>
    <mergeCell ref="C55:D55"/>
    <mergeCell ref="C56:D56"/>
    <mergeCell ref="A57:D57"/>
    <mergeCell ref="A64:D64"/>
    <mergeCell ref="C47:D47"/>
    <mergeCell ref="C48:D48"/>
    <mergeCell ref="C49:D49"/>
    <mergeCell ref="C50:D50"/>
    <mergeCell ref="C51:D51"/>
    <mergeCell ref="C52:D52"/>
    <mergeCell ref="A80:D80"/>
    <mergeCell ref="C81:D81"/>
    <mergeCell ref="C82:D82"/>
    <mergeCell ref="C83:D83"/>
    <mergeCell ref="C84:D84"/>
    <mergeCell ref="C85:D85"/>
    <mergeCell ref="A73:B73"/>
    <mergeCell ref="A75:B75"/>
    <mergeCell ref="A76:D76"/>
    <mergeCell ref="A77:D77"/>
    <mergeCell ref="A98:D98"/>
    <mergeCell ref="A107:B107"/>
    <mergeCell ref="A109:B109"/>
    <mergeCell ref="A110:D110"/>
    <mergeCell ref="A111:D111"/>
    <mergeCell ref="C86:D86"/>
    <mergeCell ref="C87:D87"/>
    <mergeCell ref="C88:D88"/>
    <mergeCell ref="C89:D89"/>
    <mergeCell ref="C90:D90"/>
    <mergeCell ref="A91:D91"/>
    <mergeCell ref="C119:D119"/>
    <mergeCell ref="C120:D120"/>
    <mergeCell ref="C121:D121"/>
    <mergeCell ref="C122:D122"/>
    <mergeCell ref="C123:D123"/>
    <mergeCell ref="C124:D124"/>
    <mergeCell ref="A114:D114"/>
    <mergeCell ref="C115:D115"/>
    <mergeCell ref="C116:D116"/>
    <mergeCell ref="C117:D117"/>
    <mergeCell ref="C118:D118"/>
    <mergeCell ref="A148:D148"/>
    <mergeCell ref="C149:D149"/>
    <mergeCell ref="C150:D150"/>
    <mergeCell ref="C151:D151"/>
    <mergeCell ref="A125:D125"/>
    <mergeCell ref="A132:D132"/>
    <mergeCell ref="A141:B141"/>
    <mergeCell ref="A143:B143"/>
    <mergeCell ref="A144:D144"/>
    <mergeCell ref="A145:D145"/>
    <mergeCell ref="C158:D158"/>
    <mergeCell ref="A159:D159"/>
    <mergeCell ref="A166:D166"/>
    <mergeCell ref="A175:B175"/>
    <mergeCell ref="A177:B177"/>
    <mergeCell ref="A178:D178"/>
    <mergeCell ref="C152:D152"/>
    <mergeCell ref="C153:D153"/>
    <mergeCell ref="C154:D154"/>
    <mergeCell ref="C155:D155"/>
    <mergeCell ref="C156:D156"/>
    <mergeCell ref="C157:D157"/>
    <mergeCell ref="C185:D185"/>
    <mergeCell ref="C186:D186"/>
    <mergeCell ref="C187:D187"/>
    <mergeCell ref="C188:D188"/>
    <mergeCell ref="C189:D189"/>
    <mergeCell ref="C190:D190"/>
    <mergeCell ref="A179:D179"/>
    <mergeCell ref="A182:D182"/>
    <mergeCell ref="C183:D183"/>
    <mergeCell ref="C184:D184"/>
    <mergeCell ref="A212:D212"/>
    <mergeCell ref="A213:D213"/>
    <mergeCell ref="A216:D216"/>
    <mergeCell ref="C217:D217"/>
    <mergeCell ref="C191:D191"/>
    <mergeCell ref="C192:D192"/>
    <mergeCell ref="A193:D193"/>
    <mergeCell ref="A200:D200"/>
    <mergeCell ref="A209:B209"/>
    <mergeCell ref="A211:B211"/>
    <mergeCell ref="C224:D224"/>
    <mergeCell ref="C225:D225"/>
    <mergeCell ref="C226:D226"/>
    <mergeCell ref="A227:D227"/>
    <mergeCell ref="A234:D234"/>
    <mergeCell ref="A243:B243"/>
    <mergeCell ref="C218:D218"/>
    <mergeCell ref="C219:D219"/>
    <mergeCell ref="C220:D220"/>
    <mergeCell ref="C221:D221"/>
    <mergeCell ref="C222:D222"/>
    <mergeCell ref="C223:D223"/>
    <mergeCell ref="C251:D251"/>
    <mergeCell ref="C252:D252"/>
    <mergeCell ref="C253:D253"/>
    <mergeCell ref="C254:D254"/>
    <mergeCell ref="C255:D255"/>
    <mergeCell ref="C256:D256"/>
    <mergeCell ref="A245:B245"/>
    <mergeCell ref="A246:D246"/>
    <mergeCell ref="A247:D247"/>
    <mergeCell ref="A250:D250"/>
    <mergeCell ref="A277:B277"/>
    <mergeCell ref="A279:B279"/>
    <mergeCell ref="A280:D280"/>
    <mergeCell ref="A281:D281"/>
    <mergeCell ref="C257:D257"/>
    <mergeCell ref="C258:D258"/>
    <mergeCell ref="C259:D259"/>
    <mergeCell ref="C260:D260"/>
    <mergeCell ref="A261:D261"/>
    <mergeCell ref="A268:D268"/>
    <mergeCell ref="C290:D290"/>
    <mergeCell ref="C291:D291"/>
    <mergeCell ref="C292:D292"/>
    <mergeCell ref="C293:D293"/>
    <mergeCell ref="C294:D294"/>
    <mergeCell ref="A295:D295"/>
    <mergeCell ref="A284:D284"/>
    <mergeCell ref="C285:D285"/>
    <mergeCell ref="C286:D286"/>
    <mergeCell ref="C287:D287"/>
    <mergeCell ref="C288:D288"/>
    <mergeCell ref="C289:D289"/>
    <mergeCell ref="A318:D318"/>
    <mergeCell ref="C319:D319"/>
    <mergeCell ref="C320:D320"/>
    <mergeCell ref="C321:D321"/>
    <mergeCell ref="C322:D322"/>
    <mergeCell ref="A302:D302"/>
    <mergeCell ref="A311:B311"/>
    <mergeCell ref="A313:B313"/>
    <mergeCell ref="A314:D314"/>
    <mergeCell ref="A315:D315"/>
    <mergeCell ref="A329:D329"/>
    <mergeCell ref="A336:D336"/>
    <mergeCell ref="A345:B345"/>
    <mergeCell ref="A347:B347"/>
    <mergeCell ref="C323:D323"/>
    <mergeCell ref="C324:D324"/>
    <mergeCell ref="C325:D325"/>
    <mergeCell ref="C326:D326"/>
    <mergeCell ref="C327:D327"/>
    <mergeCell ref="C328:D328"/>
    <mergeCell ref="A348:D348"/>
    <mergeCell ref="A349:D349"/>
    <mergeCell ref="A352:D352"/>
    <mergeCell ref="C356:D356"/>
    <mergeCell ref="C357:D357"/>
    <mergeCell ref="C358:D358"/>
    <mergeCell ref="C359:D359"/>
    <mergeCell ref="C353:D353"/>
    <mergeCell ref="C354:D354"/>
    <mergeCell ref="C355:D355"/>
    <mergeCell ref="A381:B381"/>
    <mergeCell ref="A382:D382"/>
    <mergeCell ref="A383:D383"/>
    <mergeCell ref="A386:D386"/>
    <mergeCell ref="C360:D360"/>
    <mergeCell ref="C361:D361"/>
    <mergeCell ref="C362:D362"/>
    <mergeCell ref="A363:D363"/>
    <mergeCell ref="A370:D370"/>
    <mergeCell ref="A379:B379"/>
    <mergeCell ref="C393:D393"/>
    <mergeCell ref="C394:D394"/>
    <mergeCell ref="C395:D395"/>
    <mergeCell ref="C396:D396"/>
    <mergeCell ref="A397:D397"/>
    <mergeCell ref="A404:D404"/>
    <mergeCell ref="C387:D387"/>
    <mergeCell ref="C388:D388"/>
    <mergeCell ref="C389:D389"/>
    <mergeCell ref="C390:D390"/>
    <mergeCell ref="C391:D391"/>
    <mergeCell ref="C392:D392"/>
    <mergeCell ref="A420:D420"/>
    <mergeCell ref="C421:D421"/>
    <mergeCell ref="C422:D422"/>
    <mergeCell ref="C423:D423"/>
    <mergeCell ref="C424:D424"/>
    <mergeCell ref="C425:D425"/>
    <mergeCell ref="A413:B413"/>
    <mergeCell ref="A415:B415"/>
    <mergeCell ref="A416:D416"/>
    <mergeCell ref="A417:D417"/>
    <mergeCell ref="A438:D438"/>
    <mergeCell ref="A447:B447"/>
    <mergeCell ref="A449:B449"/>
    <mergeCell ref="A450:D450"/>
    <mergeCell ref="A451:D451"/>
    <mergeCell ref="C426:D426"/>
    <mergeCell ref="C427:D427"/>
    <mergeCell ref="C428:D428"/>
    <mergeCell ref="C429:D429"/>
    <mergeCell ref="C430:D430"/>
    <mergeCell ref="A431:D431"/>
    <mergeCell ref="C459:D459"/>
    <mergeCell ref="C460:D460"/>
    <mergeCell ref="C461:D461"/>
    <mergeCell ref="C462:D462"/>
    <mergeCell ref="C463:D463"/>
    <mergeCell ref="C464:D464"/>
    <mergeCell ref="A454:D454"/>
    <mergeCell ref="C455:D455"/>
    <mergeCell ref="C456:D456"/>
    <mergeCell ref="C457:D457"/>
    <mergeCell ref="C458:D458"/>
    <mergeCell ref="A488:D488"/>
    <mergeCell ref="C489:D489"/>
    <mergeCell ref="C490:D490"/>
    <mergeCell ref="C491:D491"/>
    <mergeCell ref="A465:D465"/>
    <mergeCell ref="A472:D472"/>
    <mergeCell ref="A481:B481"/>
    <mergeCell ref="A483:B483"/>
    <mergeCell ref="A484:D484"/>
    <mergeCell ref="A485:D485"/>
    <mergeCell ref="C498:D498"/>
    <mergeCell ref="A499:D499"/>
    <mergeCell ref="A506:D506"/>
    <mergeCell ref="A515:B515"/>
    <mergeCell ref="A517:B517"/>
    <mergeCell ref="A518:D518"/>
    <mergeCell ref="C492:D492"/>
    <mergeCell ref="C493:D493"/>
    <mergeCell ref="C494:D494"/>
    <mergeCell ref="C495:D495"/>
    <mergeCell ref="C496:D496"/>
    <mergeCell ref="C497:D497"/>
    <mergeCell ref="C525:D525"/>
    <mergeCell ref="C526:D526"/>
    <mergeCell ref="C527:D527"/>
    <mergeCell ref="C528:D528"/>
    <mergeCell ref="C529:D529"/>
    <mergeCell ref="C530:D530"/>
    <mergeCell ref="A519:D519"/>
    <mergeCell ref="A522:D522"/>
    <mergeCell ref="C523:D523"/>
    <mergeCell ref="C524:D524"/>
    <mergeCell ref="A552:D552"/>
    <mergeCell ref="A553:D553"/>
    <mergeCell ref="A556:D556"/>
    <mergeCell ref="C557:D557"/>
    <mergeCell ref="C531:D531"/>
    <mergeCell ref="C532:D532"/>
    <mergeCell ref="A533:D533"/>
    <mergeCell ref="A540:D540"/>
    <mergeCell ref="A549:B549"/>
    <mergeCell ref="A551:B551"/>
    <mergeCell ref="C564:D564"/>
    <mergeCell ref="C565:D565"/>
    <mergeCell ref="C566:D566"/>
    <mergeCell ref="A567:D567"/>
    <mergeCell ref="A574:D574"/>
    <mergeCell ref="A583:B583"/>
    <mergeCell ref="C558:D558"/>
    <mergeCell ref="C559:D559"/>
    <mergeCell ref="C560:D560"/>
    <mergeCell ref="C561:D561"/>
    <mergeCell ref="C562:D562"/>
    <mergeCell ref="C563:D563"/>
    <mergeCell ref="C591:D591"/>
    <mergeCell ref="C592:D592"/>
    <mergeCell ref="C593:D593"/>
    <mergeCell ref="C594:D594"/>
    <mergeCell ref="C595:D595"/>
    <mergeCell ref="C596:D596"/>
    <mergeCell ref="A585:B585"/>
    <mergeCell ref="A586:D586"/>
    <mergeCell ref="A587:D587"/>
    <mergeCell ref="A590:D590"/>
    <mergeCell ref="A617:B617"/>
    <mergeCell ref="A619:B619"/>
    <mergeCell ref="A620:D620"/>
    <mergeCell ref="A621:D621"/>
    <mergeCell ref="C597:D597"/>
    <mergeCell ref="C598:D598"/>
    <mergeCell ref="C599:D599"/>
    <mergeCell ref="C600:D600"/>
    <mergeCell ref="A601:D601"/>
    <mergeCell ref="A608:D608"/>
    <mergeCell ref="C630:D630"/>
    <mergeCell ref="C631:D631"/>
    <mergeCell ref="C632:D632"/>
    <mergeCell ref="C633:D633"/>
    <mergeCell ref="C634:D634"/>
    <mergeCell ref="A635:D635"/>
    <mergeCell ref="A624:D624"/>
    <mergeCell ref="C625:D625"/>
    <mergeCell ref="C626:D626"/>
    <mergeCell ref="C627:D627"/>
    <mergeCell ref="C628:D628"/>
    <mergeCell ref="C629:D629"/>
    <mergeCell ref="A658:D658"/>
    <mergeCell ref="C659:D659"/>
    <mergeCell ref="C660:D660"/>
    <mergeCell ref="C661:D661"/>
    <mergeCell ref="C662:D662"/>
    <mergeCell ref="A642:D642"/>
    <mergeCell ref="A651:B651"/>
    <mergeCell ref="A653:B653"/>
    <mergeCell ref="A654:D654"/>
    <mergeCell ref="A655:D655"/>
    <mergeCell ref="A669:D669"/>
    <mergeCell ref="A676:D676"/>
    <mergeCell ref="A685:B685"/>
    <mergeCell ref="A687:B687"/>
    <mergeCell ref="A688:D688"/>
    <mergeCell ref="A689:D689"/>
    <mergeCell ref="C663:D663"/>
    <mergeCell ref="C664:D664"/>
    <mergeCell ref="C665:D665"/>
    <mergeCell ref="C666:D666"/>
    <mergeCell ref="C667:D667"/>
    <mergeCell ref="C668:D668"/>
    <mergeCell ref="C696:D696"/>
    <mergeCell ref="C697:D697"/>
    <mergeCell ref="C698:D698"/>
    <mergeCell ref="C699:D699"/>
    <mergeCell ref="C700:D700"/>
    <mergeCell ref="C701:D701"/>
    <mergeCell ref="A692:D692"/>
    <mergeCell ref="C693:D693"/>
    <mergeCell ref="C694:D694"/>
    <mergeCell ref="C695:D695"/>
    <mergeCell ref="A723:D723"/>
    <mergeCell ref="A726:D726"/>
    <mergeCell ref="C727:D727"/>
    <mergeCell ref="C728:D728"/>
    <mergeCell ref="C702:D702"/>
    <mergeCell ref="A703:D703"/>
    <mergeCell ref="A710:D710"/>
    <mergeCell ref="A719:B719"/>
    <mergeCell ref="A721:B721"/>
    <mergeCell ref="A722:D722"/>
    <mergeCell ref="C735:D735"/>
    <mergeCell ref="C736:D736"/>
    <mergeCell ref="A737:D737"/>
    <mergeCell ref="A744:D744"/>
    <mergeCell ref="A753:B753"/>
    <mergeCell ref="A755:B755"/>
    <mergeCell ref="C729:D729"/>
    <mergeCell ref="C730:D730"/>
    <mergeCell ref="C731:D731"/>
    <mergeCell ref="C732:D732"/>
    <mergeCell ref="C733:D733"/>
    <mergeCell ref="C734:D734"/>
    <mergeCell ref="C762:D762"/>
    <mergeCell ref="C763:D763"/>
    <mergeCell ref="C764:D764"/>
    <mergeCell ref="C765:D765"/>
    <mergeCell ref="C766:D766"/>
    <mergeCell ref="C767:D767"/>
    <mergeCell ref="A756:D756"/>
    <mergeCell ref="A757:D757"/>
    <mergeCell ref="A760:D760"/>
    <mergeCell ref="C761:D761"/>
    <mergeCell ref="A789:B789"/>
    <mergeCell ref="A790:D790"/>
    <mergeCell ref="A791:D791"/>
    <mergeCell ref="A794:D794"/>
    <mergeCell ref="C768:D768"/>
    <mergeCell ref="C769:D769"/>
    <mergeCell ref="C770:D770"/>
    <mergeCell ref="A771:D771"/>
    <mergeCell ref="A778:D778"/>
    <mergeCell ref="A787:B787"/>
    <mergeCell ref="C801:D801"/>
    <mergeCell ref="C802:D802"/>
    <mergeCell ref="C803:D803"/>
    <mergeCell ref="C804:D804"/>
    <mergeCell ref="A805:D805"/>
    <mergeCell ref="A812:D812"/>
    <mergeCell ref="C795:D795"/>
    <mergeCell ref="C796:D796"/>
    <mergeCell ref="C797:D797"/>
    <mergeCell ref="C798:D798"/>
    <mergeCell ref="C799:D799"/>
    <mergeCell ref="C800:D800"/>
    <mergeCell ref="A828:D828"/>
    <mergeCell ref="C829:D829"/>
    <mergeCell ref="C830:D830"/>
    <mergeCell ref="C831:D831"/>
    <mergeCell ref="C832:D832"/>
    <mergeCell ref="C833:D833"/>
    <mergeCell ref="A821:B821"/>
    <mergeCell ref="A823:B823"/>
    <mergeCell ref="A824:D824"/>
    <mergeCell ref="A825:D825"/>
    <mergeCell ref="A846:D846"/>
    <mergeCell ref="A855:B855"/>
    <mergeCell ref="A857:B857"/>
    <mergeCell ref="C834:D834"/>
    <mergeCell ref="C835:D835"/>
    <mergeCell ref="C836:D836"/>
    <mergeCell ref="C837:D837"/>
    <mergeCell ref="C838:D838"/>
    <mergeCell ref="A839:D839"/>
    <mergeCell ref="A858:D858"/>
    <mergeCell ref="A859:D859"/>
    <mergeCell ref="A862:D862"/>
    <mergeCell ref="C863:D863"/>
    <mergeCell ref="C864:D864"/>
    <mergeCell ref="C865:D865"/>
    <mergeCell ref="C866:D866"/>
    <mergeCell ref="C867:D867"/>
    <mergeCell ref="C868:D868"/>
    <mergeCell ref="C869:D869"/>
    <mergeCell ref="C870:D870"/>
    <mergeCell ref="C871:D871"/>
    <mergeCell ref="C872:D872"/>
    <mergeCell ref="A873:D873"/>
    <mergeCell ref="A880:D880"/>
    <mergeCell ref="A889:B889"/>
    <mergeCell ref="A891:B891"/>
    <mergeCell ref="A892:D892"/>
    <mergeCell ref="A893:D893"/>
    <mergeCell ref="A896:D896"/>
    <mergeCell ref="C897:D897"/>
    <mergeCell ref="C898:D898"/>
    <mergeCell ref="C899:D899"/>
    <mergeCell ref="C900:D900"/>
    <mergeCell ref="C901:D901"/>
    <mergeCell ref="C902:D902"/>
    <mergeCell ref="C903:D903"/>
    <mergeCell ref="C904:D904"/>
    <mergeCell ref="C905:D905"/>
    <mergeCell ref="C906:D906"/>
    <mergeCell ref="A907:D907"/>
    <mergeCell ref="A914:D914"/>
    <mergeCell ref="A923:B923"/>
    <mergeCell ref="A925:B925"/>
    <mergeCell ref="A926:D926"/>
    <mergeCell ref="A927:D927"/>
    <mergeCell ref="A930:D930"/>
    <mergeCell ref="C931:D931"/>
    <mergeCell ref="C932:D932"/>
    <mergeCell ref="C933:D933"/>
    <mergeCell ref="C934:D934"/>
    <mergeCell ref="C935:D935"/>
    <mergeCell ref="C936:D936"/>
    <mergeCell ref="C937:D937"/>
    <mergeCell ref="C938:D938"/>
    <mergeCell ref="C939:D939"/>
    <mergeCell ref="C940:D940"/>
    <mergeCell ref="A941:D941"/>
    <mergeCell ref="A948:D948"/>
    <mergeCell ref="A957:B957"/>
    <mergeCell ref="A959:B959"/>
    <mergeCell ref="A960:D960"/>
    <mergeCell ref="A961:D961"/>
    <mergeCell ref="A964:D964"/>
    <mergeCell ref="C965:D965"/>
    <mergeCell ref="C966:D966"/>
    <mergeCell ref="C967:D967"/>
    <mergeCell ref="C968:D968"/>
    <mergeCell ref="C969:D969"/>
    <mergeCell ref="C970:D970"/>
    <mergeCell ref="C971:D971"/>
    <mergeCell ref="C972:D972"/>
    <mergeCell ref="C973:D973"/>
    <mergeCell ref="C974:D974"/>
    <mergeCell ref="A975:D975"/>
    <mergeCell ref="A982:D982"/>
    <mergeCell ref="A991:B991"/>
    <mergeCell ref="A993:B993"/>
    <mergeCell ref="A994:D994"/>
    <mergeCell ref="A995:D995"/>
    <mergeCell ref="A998:D998"/>
    <mergeCell ref="C999:D999"/>
    <mergeCell ref="C1000:D1000"/>
    <mergeCell ref="C1001:D1001"/>
    <mergeCell ref="C1002:D1002"/>
    <mergeCell ref="C1003:D1003"/>
    <mergeCell ref="C1004:D1004"/>
    <mergeCell ref="C1005:D1005"/>
    <mergeCell ref="C1006:D1006"/>
    <mergeCell ref="C1007:D1007"/>
    <mergeCell ref="C1008:D1008"/>
    <mergeCell ref="A1009:D1009"/>
    <mergeCell ref="A1016:D1016"/>
    <mergeCell ref="A1025:B1025"/>
    <mergeCell ref="A1027:B1027"/>
    <mergeCell ref="A1028:D1028"/>
    <mergeCell ref="A1029:D1029"/>
    <mergeCell ref="A1032:D1032"/>
    <mergeCell ref="C1033:D1033"/>
    <mergeCell ref="C1034:D1034"/>
    <mergeCell ref="C1035:D1035"/>
    <mergeCell ref="C1036:D1036"/>
    <mergeCell ref="C1037:D1037"/>
    <mergeCell ref="C1038:D1038"/>
    <mergeCell ref="C1039:D1039"/>
    <mergeCell ref="C1040:D1040"/>
    <mergeCell ref="C1041:D1041"/>
    <mergeCell ref="C1042:D1042"/>
    <mergeCell ref="A1043:D1043"/>
    <mergeCell ref="A1050:D1050"/>
    <mergeCell ref="A1059:B1059"/>
    <mergeCell ref="A1061:B1061"/>
    <mergeCell ref="A1062:D1062"/>
    <mergeCell ref="A1063:D1063"/>
    <mergeCell ref="A1066:D1066"/>
    <mergeCell ref="C1067:D1067"/>
    <mergeCell ref="C1068:D1068"/>
    <mergeCell ref="C1069:D1069"/>
    <mergeCell ref="C1070:D1070"/>
    <mergeCell ref="C1071:D1071"/>
    <mergeCell ref="C1072:D1072"/>
    <mergeCell ref="C1073:D1073"/>
    <mergeCell ref="C1074:D1074"/>
    <mergeCell ref="C1075:D1075"/>
    <mergeCell ref="C1076:D1076"/>
    <mergeCell ref="A1077:D1077"/>
    <mergeCell ref="A1084:D1084"/>
    <mergeCell ref="A1093:B1093"/>
    <mergeCell ref="A1095:B1095"/>
    <mergeCell ref="A1096:D1096"/>
    <mergeCell ref="A1097:D1097"/>
    <mergeCell ref="A1100:D1100"/>
    <mergeCell ref="C1101:D1101"/>
    <mergeCell ref="C1102:D1102"/>
    <mergeCell ref="C1103:D1103"/>
    <mergeCell ref="C1104:D1104"/>
    <mergeCell ref="C1105:D1105"/>
    <mergeCell ref="C1106:D1106"/>
    <mergeCell ref="C1107:D1107"/>
    <mergeCell ref="C1108:D1108"/>
    <mergeCell ref="C1109:D1109"/>
    <mergeCell ref="C1110:D1110"/>
    <mergeCell ref="A1111:D1111"/>
    <mergeCell ref="A1118:D1118"/>
    <mergeCell ref="A1127:B1127"/>
    <mergeCell ref="A1129:B1129"/>
    <mergeCell ref="A1130:D1130"/>
    <mergeCell ref="A1131:D1131"/>
    <mergeCell ref="A1134:D1134"/>
    <mergeCell ref="C1135:D1135"/>
    <mergeCell ref="C1136:D1136"/>
    <mergeCell ref="C1137:D1137"/>
    <mergeCell ref="C1138:D1138"/>
    <mergeCell ref="C1139:D1139"/>
    <mergeCell ref="C1140:D1140"/>
    <mergeCell ref="C1141:D1141"/>
    <mergeCell ref="C1142:D1142"/>
    <mergeCell ref="C1143:D1143"/>
    <mergeCell ref="C1144:D1144"/>
    <mergeCell ref="A1145:D1145"/>
    <mergeCell ref="A1152:D1152"/>
    <mergeCell ref="A1161:B1161"/>
    <mergeCell ref="A1163:B1163"/>
    <mergeCell ref="A1164:D1164"/>
    <mergeCell ref="A1165:D1165"/>
    <mergeCell ref="A1168:D1168"/>
    <mergeCell ref="C1169:D1169"/>
    <mergeCell ref="C1170:D1170"/>
    <mergeCell ref="C1171:D1171"/>
    <mergeCell ref="C1172:D1172"/>
    <mergeCell ref="C1173:D1173"/>
    <mergeCell ref="C1174:D1174"/>
    <mergeCell ref="C1175:D1175"/>
    <mergeCell ref="C1176:D1176"/>
    <mergeCell ref="C1177:D1177"/>
    <mergeCell ref="C1178:D1178"/>
    <mergeCell ref="A1179:D1179"/>
    <mergeCell ref="A1186:D1186"/>
    <mergeCell ref="A1195:B1195"/>
    <mergeCell ref="A1197:B1197"/>
    <mergeCell ref="A1198:D1198"/>
    <mergeCell ref="A1199:D1199"/>
    <mergeCell ref="A1202:D1202"/>
    <mergeCell ref="C1203:D1203"/>
    <mergeCell ref="C1204:D1204"/>
    <mergeCell ref="C1205:D1205"/>
    <mergeCell ref="C1206:D1206"/>
    <mergeCell ref="C1207:D1207"/>
    <mergeCell ref="C1208:D1208"/>
    <mergeCell ref="C1209:D1209"/>
    <mergeCell ref="C1210:D1210"/>
    <mergeCell ref="C1211:D1211"/>
    <mergeCell ref="C1212:D1212"/>
    <mergeCell ref="A1213:D1213"/>
    <mergeCell ref="A1220:D1220"/>
    <mergeCell ref="A1229:B1229"/>
    <mergeCell ref="A1231:B1231"/>
    <mergeCell ref="A1232:D1232"/>
    <mergeCell ref="A1233:D1233"/>
    <mergeCell ref="A1236:D1236"/>
    <mergeCell ref="C1237:D1237"/>
    <mergeCell ref="C1238:D1238"/>
    <mergeCell ref="C1239:D1239"/>
    <mergeCell ref="C1240:D1240"/>
    <mergeCell ref="C1241:D1241"/>
    <mergeCell ref="C1242:D1242"/>
    <mergeCell ref="C1243:D1243"/>
    <mergeCell ref="C1244:D1244"/>
    <mergeCell ref="C1245:D1245"/>
    <mergeCell ref="C1246:D1246"/>
    <mergeCell ref="A1247:D1247"/>
    <mergeCell ref="A1254:D1254"/>
    <mergeCell ref="A1263:B1263"/>
    <mergeCell ref="A1265:B1265"/>
    <mergeCell ref="A1266:D1266"/>
    <mergeCell ref="A1267:D1267"/>
    <mergeCell ref="A1270:D1270"/>
    <mergeCell ref="C1271:D1271"/>
    <mergeCell ref="C1272:D1272"/>
    <mergeCell ref="C1273:D1273"/>
    <mergeCell ref="C1274:D1274"/>
    <mergeCell ref="C1275:D1275"/>
    <mergeCell ref="C1276:D1276"/>
    <mergeCell ref="C1277:D1277"/>
    <mergeCell ref="C1278:D1278"/>
    <mergeCell ref="C1279:D1279"/>
    <mergeCell ref="C1280:D1280"/>
    <mergeCell ref="A1281:D1281"/>
    <mergeCell ref="A1288:D1288"/>
    <mergeCell ref="A1297:B1297"/>
    <mergeCell ref="A1299:B1299"/>
    <mergeCell ref="A1300:D1300"/>
    <mergeCell ref="A1301:D1301"/>
    <mergeCell ref="A1304:D1304"/>
    <mergeCell ref="C1305:D1305"/>
    <mergeCell ref="C1306:D1306"/>
    <mergeCell ref="C1307:D1307"/>
    <mergeCell ref="C1308:D1308"/>
    <mergeCell ref="C1309:D1309"/>
    <mergeCell ref="C1310:D1310"/>
    <mergeCell ref="C1311:D1311"/>
    <mergeCell ref="C1312:D1312"/>
    <mergeCell ref="C1313:D1313"/>
    <mergeCell ref="C1314:D1314"/>
    <mergeCell ref="C1344:D1344"/>
    <mergeCell ref="C1345:D1345"/>
    <mergeCell ref="C1346:D1346"/>
    <mergeCell ref="C1347:D1347"/>
    <mergeCell ref="C1348:D1348"/>
    <mergeCell ref="A1349:D1349"/>
    <mergeCell ref="A1315:D1315"/>
    <mergeCell ref="A1322:D1322"/>
    <mergeCell ref="A1331:B1331"/>
    <mergeCell ref="A1333:B1333"/>
    <mergeCell ref="A1334:D1334"/>
    <mergeCell ref="A1335:D1335"/>
    <mergeCell ref="A1338:D1338"/>
    <mergeCell ref="C1339:D1339"/>
    <mergeCell ref="C1340:D1340"/>
    <mergeCell ref="C3:D3"/>
    <mergeCell ref="A1399:B1399"/>
    <mergeCell ref="A1401:B1401"/>
    <mergeCell ref="C1376:D1376"/>
    <mergeCell ref="C1377:D1377"/>
    <mergeCell ref="C1378:D1378"/>
    <mergeCell ref="C1379:D1379"/>
    <mergeCell ref="C1380:D1380"/>
    <mergeCell ref="C1381:D1381"/>
    <mergeCell ref="C1382:D1382"/>
    <mergeCell ref="A1383:D1383"/>
    <mergeCell ref="A1390:D1390"/>
    <mergeCell ref="A1356:D1356"/>
    <mergeCell ref="A1365:B1365"/>
    <mergeCell ref="A1367:B1367"/>
    <mergeCell ref="A1368:D1368"/>
    <mergeCell ref="A1369:D1369"/>
    <mergeCell ref="A1372:D1372"/>
    <mergeCell ref="C1373:D1373"/>
    <mergeCell ref="C1374:D1374"/>
    <mergeCell ref="C1375:D1375"/>
    <mergeCell ref="C1341:D1341"/>
    <mergeCell ref="C1342:D1342"/>
    <mergeCell ref="C1343:D1343"/>
  </mergeCells>
  <conditionalFormatting sqref="E36">
    <cfRule type="cellIs" dxfId="123" priority="130" operator="notEqual">
      <formula>D36</formula>
    </cfRule>
  </conditionalFormatting>
  <conditionalFormatting sqref="E33">
    <cfRule type="cellIs" dxfId="122" priority="129" operator="notEqual">
      <formula>D33</formula>
    </cfRule>
  </conditionalFormatting>
  <conditionalFormatting sqref="E37">
    <cfRule type="cellIs" dxfId="121" priority="128" operator="notEqual">
      <formula>D33+D36</formula>
    </cfRule>
  </conditionalFormatting>
  <conditionalFormatting sqref="E70">
    <cfRule type="cellIs" dxfId="120" priority="127" operator="notEqual">
      <formula>D70</formula>
    </cfRule>
  </conditionalFormatting>
  <conditionalFormatting sqref="E67">
    <cfRule type="cellIs" dxfId="119" priority="126" operator="notEqual">
      <formula>D67</formula>
    </cfRule>
  </conditionalFormatting>
  <conditionalFormatting sqref="E71">
    <cfRule type="cellIs" dxfId="118" priority="125" operator="notEqual">
      <formula>D67+D70</formula>
    </cfRule>
  </conditionalFormatting>
  <conditionalFormatting sqref="E104">
    <cfRule type="cellIs" dxfId="117" priority="124" operator="notEqual">
      <formula>D104</formula>
    </cfRule>
  </conditionalFormatting>
  <conditionalFormatting sqref="E101">
    <cfRule type="cellIs" dxfId="116" priority="123" operator="notEqual">
      <formula>D101</formula>
    </cfRule>
  </conditionalFormatting>
  <conditionalFormatting sqref="E105">
    <cfRule type="cellIs" dxfId="115" priority="122" operator="notEqual">
      <formula>D101+D104</formula>
    </cfRule>
  </conditionalFormatting>
  <conditionalFormatting sqref="E138">
    <cfRule type="cellIs" dxfId="114" priority="121" operator="notEqual">
      <formula>D138</formula>
    </cfRule>
  </conditionalFormatting>
  <conditionalFormatting sqref="E135">
    <cfRule type="cellIs" dxfId="113" priority="120" operator="notEqual">
      <formula>D135</formula>
    </cfRule>
  </conditionalFormatting>
  <conditionalFormatting sqref="E139">
    <cfRule type="cellIs" dxfId="112" priority="119" operator="notEqual">
      <formula>D135+D138</formula>
    </cfRule>
  </conditionalFormatting>
  <conditionalFormatting sqref="E173">
    <cfRule type="cellIs" dxfId="111" priority="116" operator="notEqual">
      <formula>D169+D172</formula>
    </cfRule>
  </conditionalFormatting>
  <conditionalFormatting sqref="E172">
    <cfRule type="cellIs" dxfId="110" priority="118" operator="notEqual">
      <formula>D172</formula>
    </cfRule>
  </conditionalFormatting>
  <conditionalFormatting sqref="E169">
    <cfRule type="cellIs" dxfId="109" priority="117" operator="notEqual">
      <formula>D169</formula>
    </cfRule>
  </conditionalFormatting>
  <conditionalFormatting sqref="E207">
    <cfRule type="cellIs" dxfId="108" priority="113" operator="notEqual">
      <formula>D203+D206</formula>
    </cfRule>
  </conditionalFormatting>
  <conditionalFormatting sqref="E206">
    <cfRule type="cellIs" dxfId="107" priority="115" operator="notEqual">
      <formula>D206</formula>
    </cfRule>
  </conditionalFormatting>
  <conditionalFormatting sqref="E203">
    <cfRule type="cellIs" dxfId="106" priority="114" operator="notEqual">
      <formula>D203</formula>
    </cfRule>
  </conditionalFormatting>
  <conditionalFormatting sqref="E241">
    <cfRule type="cellIs" dxfId="105" priority="110" operator="notEqual">
      <formula>D237+D240</formula>
    </cfRule>
  </conditionalFormatting>
  <conditionalFormatting sqref="E240">
    <cfRule type="cellIs" dxfId="104" priority="112" operator="notEqual">
      <formula>D240</formula>
    </cfRule>
  </conditionalFormatting>
  <conditionalFormatting sqref="E237">
    <cfRule type="cellIs" dxfId="103" priority="111" operator="notEqual">
      <formula>D237</formula>
    </cfRule>
  </conditionalFormatting>
  <conditionalFormatting sqref="E275">
    <cfRule type="cellIs" dxfId="102" priority="107" operator="notEqual">
      <formula>D271+D274</formula>
    </cfRule>
  </conditionalFormatting>
  <conditionalFormatting sqref="E274">
    <cfRule type="cellIs" dxfId="101" priority="109" operator="notEqual">
      <formula>D274</formula>
    </cfRule>
  </conditionalFormatting>
  <conditionalFormatting sqref="E271">
    <cfRule type="cellIs" dxfId="100" priority="108" operator="notEqual">
      <formula>D271</formula>
    </cfRule>
  </conditionalFormatting>
  <conditionalFormatting sqref="E309">
    <cfRule type="cellIs" dxfId="99" priority="104" operator="notEqual">
      <formula>D305+D308</formula>
    </cfRule>
  </conditionalFormatting>
  <conditionalFormatting sqref="E308">
    <cfRule type="cellIs" dxfId="98" priority="106" operator="notEqual">
      <formula>D308</formula>
    </cfRule>
  </conditionalFormatting>
  <conditionalFormatting sqref="E305">
    <cfRule type="cellIs" dxfId="97" priority="105" operator="notEqual">
      <formula>D305</formula>
    </cfRule>
  </conditionalFormatting>
  <conditionalFormatting sqref="E343">
    <cfRule type="cellIs" dxfId="96" priority="101" operator="notEqual">
      <formula>D339+D342</formula>
    </cfRule>
  </conditionalFormatting>
  <conditionalFormatting sqref="E342">
    <cfRule type="cellIs" dxfId="95" priority="103" operator="notEqual">
      <formula>D342</formula>
    </cfRule>
  </conditionalFormatting>
  <conditionalFormatting sqref="E339">
    <cfRule type="cellIs" dxfId="94" priority="102" operator="notEqual">
      <formula>D339</formula>
    </cfRule>
  </conditionalFormatting>
  <conditionalFormatting sqref="E377">
    <cfRule type="cellIs" dxfId="93" priority="98" operator="notEqual">
      <formula>D373+D376</formula>
    </cfRule>
  </conditionalFormatting>
  <conditionalFormatting sqref="E376">
    <cfRule type="cellIs" dxfId="92" priority="100" operator="notEqual">
      <formula>D376</formula>
    </cfRule>
  </conditionalFormatting>
  <conditionalFormatting sqref="E373">
    <cfRule type="cellIs" dxfId="91" priority="99" operator="notEqual">
      <formula>D373</formula>
    </cfRule>
  </conditionalFormatting>
  <conditionalFormatting sqref="E411">
    <cfRule type="cellIs" dxfId="90" priority="95" operator="notEqual">
      <formula>D407+D410</formula>
    </cfRule>
  </conditionalFormatting>
  <conditionalFormatting sqref="E410">
    <cfRule type="cellIs" dxfId="89" priority="97" operator="notEqual">
      <formula>D410</formula>
    </cfRule>
  </conditionalFormatting>
  <conditionalFormatting sqref="E407">
    <cfRule type="cellIs" dxfId="88" priority="96" operator="notEqual">
      <formula>D407</formula>
    </cfRule>
  </conditionalFormatting>
  <conditionalFormatting sqref="E445">
    <cfRule type="cellIs" dxfId="87" priority="92" operator="notEqual">
      <formula>D441+D444</formula>
    </cfRule>
  </conditionalFormatting>
  <conditionalFormatting sqref="E444">
    <cfRule type="cellIs" dxfId="86" priority="94" operator="notEqual">
      <formula>D444</formula>
    </cfRule>
  </conditionalFormatting>
  <conditionalFormatting sqref="E441">
    <cfRule type="cellIs" dxfId="85" priority="93" operator="notEqual">
      <formula>D441</formula>
    </cfRule>
  </conditionalFormatting>
  <conditionalFormatting sqref="E479">
    <cfRule type="cellIs" dxfId="84" priority="89" operator="notEqual">
      <formula>D475+D478</formula>
    </cfRule>
  </conditionalFormatting>
  <conditionalFormatting sqref="E478">
    <cfRule type="cellIs" dxfId="83" priority="91" operator="notEqual">
      <formula>D478</formula>
    </cfRule>
  </conditionalFormatting>
  <conditionalFormatting sqref="E475">
    <cfRule type="cellIs" dxfId="82" priority="90" operator="notEqual">
      <formula>D475</formula>
    </cfRule>
  </conditionalFormatting>
  <conditionalFormatting sqref="E513">
    <cfRule type="cellIs" dxfId="81" priority="86" operator="notEqual">
      <formula>D509+D512</formula>
    </cfRule>
  </conditionalFormatting>
  <conditionalFormatting sqref="E512">
    <cfRule type="cellIs" dxfId="80" priority="88" operator="notEqual">
      <formula>D512</formula>
    </cfRule>
  </conditionalFormatting>
  <conditionalFormatting sqref="E509">
    <cfRule type="cellIs" dxfId="79" priority="87" operator="notEqual">
      <formula>D509</formula>
    </cfRule>
  </conditionalFormatting>
  <conditionalFormatting sqref="E547">
    <cfRule type="cellIs" dxfId="78" priority="83" operator="notEqual">
      <formula>D543+D546</formula>
    </cfRule>
  </conditionalFormatting>
  <conditionalFormatting sqref="E546">
    <cfRule type="cellIs" dxfId="77" priority="85" operator="notEqual">
      <formula>D546</formula>
    </cfRule>
  </conditionalFormatting>
  <conditionalFormatting sqref="E543">
    <cfRule type="cellIs" dxfId="76" priority="84" operator="notEqual">
      <formula>D543</formula>
    </cfRule>
  </conditionalFormatting>
  <conditionalFormatting sqref="E581">
    <cfRule type="cellIs" dxfId="75" priority="80" operator="notEqual">
      <formula>D577+D580</formula>
    </cfRule>
  </conditionalFormatting>
  <conditionalFormatting sqref="E580">
    <cfRule type="cellIs" dxfId="74" priority="82" operator="notEqual">
      <formula>D580</formula>
    </cfRule>
  </conditionalFormatting>
  <conditionalFormatting sqref="E577">
    <cfRule type="cellIs" dxfId="73" priority="81" operator="notEqual">
      <formula>D577</formula>
    </cfRule>
  </conditionalFormatting>
  <conditionalFormatting sqref="E615">
    <cfRule type="cellIs" dxfId="72" priority="77" operator="notEqual">
      <formula>D611+D614</formula>
    </cfRule>
  </conditionalFormatting>
  <conditionalFormatting sqref="E614">
    <cfRule type="cellIs" dxfId="71" priority="79" operator="notEqual">
      <formula>D614</formula>
    </cfRule>
  </conditionalFormatting>
  <conditionalFormatting sqref="E611">
    <cfRule type="cellIs" dxfId="70" priority="78" operator="notEqual">
      <formula>D611</formula>
    </cfRule>
  </conditionalFormatting>
  <conditionalFormatting sqref="E649">
    <cfRule type="cellIs" dxfId="69" priority="74" operator="notEqual">
      <formula>D645+D648</formula>
    </cfRule>
  </conditionalFormatting>
  <conditionalFormatting sqref="E648">
    <cfRule type="cellIs" dxfId="68" priority="76" operator="notEqual">
      <formula>D648</formula>
    </cfRule>
  </conditionalFormatting>
  <conditionalFormatting sqref="E645">
    <cfRule type="cellIs" dxfId="67" priority="75" operator="notEqual">
      <formula>D645</formula>
    </cfRule>
  </conditionalFormatting>
  <conditionalFormatting sqref="E683">
    <cfRule type="cellIs" dxfId="66" priority="71" operator="notEqual">
      <formula>D679+D682</formula>
    </cfRule>
  </conditionalFormatting>
  <conditionalFormatting sqref="E682">
    <cfRule type="cellIs" dxfId="65" priority="73" operator="notEqual">
      <formula>D682</formula>
    </cfRule>
  </conditionalFormatting>
  <conditionalFormatting sqref="E679">
    <cfRule type="cellIs" dxfId="64" priority="72" operator="notEqual">
      <formula>D679</formula>
    </cfRule>
  </conditionalFormatting>
  <conditionalFormatting sqref="E717">
    <cfRule type="cellIs" dxfId="63" priority="68" operator="notEqual">
      <formula>D713+D716</formula>
    </cfRule>
  </conditionalFormatting>
  <conditionalFormatting sqref="E716">
    <cfRule type="cellIs" dxfId="62" priority="70" operator="notEqual">
      <formula>D716</formula>
    </cfRule>
  </conditionalFormatting>
  <conditionalFormatting sqref="E713">
    <cfRule type="cellIs" dxfId="61" priority="69" operator="notEqual">
      <formula>D713</formula>
    </cfRule>
  </conditionalFormatting>
  <conditionalFormatting sqref="E751">
    <cfRule type="cellIs" dxfId="60" priority="65" operator="notEqual">
      <formula>D747+D750</formula>
    </cfRule>
  </conditionalFormatting>
  <conditionalFormatting sqref="E750">
    <cfRule type="cellIs" dxfId="59" priority="67" operator="notEqual">
      <formula>D750</formula>
    </cfRule>
  </conditionalFormatting>
  <conditionalFormatting sqref="E747">
    <cfRule type="cellIs" dxfId="58" priority="66" operator="notEqual">
      <formula>D747</formula>
    </cfRule>
  </conditionalFormatting>
  <conditionalFormatting sqref="E785">
    <cfRule type="cellIs" dxfId="57" priority="62" operator="notEqual">
      <formula>D781+D784</formula>
    </cfRule>
  </conditionalFormatting>
  <conditionalFormatting sqref="E784">
    <cfRule type="cellIs" dxfId="56" priority="64" operator="notEqual">
      <formula>D784</formula>
    </cfRule>
  </conditionalFormatting>
  <conditionalFormatting sqref="E781">
    <cfRule type="cellIs" dxfId="55" priority="63" operator="notEqual">
      <formula>D781</formula>
    </cfRule>
  </conditionalFormatting>
  <conditionalFormatting sqref="E819">
    <cfRule type="cellIs" dxfId="54" priority="59" operator="notEqual">
      <formula>D815+D818</formula>
    </cfRule>
  </conditionalFormatting>
  <conditionalFormatting sqref="E818">
    <cfRule type="cellIs" dxfId="53" priority="61" operator="notEqual">
      <formula>D818</formula>
    </cfRule>
  </conditionalFormatting>
  <conditionalFormatting sqref="E815">
    <cfRule type="cellIs" dxfId="52" priority="60" operator="notEqual">
      <formula>D815</formula>
    </cfRule>
  </conditionalFormatting>
  <conditionalFormatting sqref="E853">
    <cfRule type="cellIs" dxfId="51" priority="56" operator="notEqual">
      <formula>D849+D852</formula>
    </cfRule>
  </conditionalFormatting>
  <conditionalFormatting sqref="E852">
    <cfRule type="cellIs" dxfId="50" priority="58" operator="notEqual">
      <formula>D852</formula>
    </cfRule>
  </conditionalFormatting>
  <conditionalFormatting sqref="E849">
    <cfRule type="cellIs" dxfId="49" priority="57" operator="notEqual">
      <formula>D849</formula>
    </cfRule>
  </conditionalFormatting>
  <conditionalFormatting sqref="E25">
    <cfRule type="cellIs" dxfId="48" priority="55" operator="notEqual">
      <formula>C25</formula>
    </cfRule>
  </conditionalFormatting>
  <conditionalFormatting sqref="E887">
    <cfRule type="cellIs" dxfId="47" priority="46" operator="notEqual">
      <formula>D883+D886</formula>
    </cfRule>
  </conditionalFormatting>
  <conditionalFormatting sqref="E886">
    <cfRule type="cellIs" dxfId="46" priority="48" operator="notEqual">
      <formula>D886</formula>
    </cfRule>
  </conditionalFormatting>
  <conditionalFormatting sqref="E883">
    <cfRule type="cellIs" dxfId="45" priority="47" operator="notEqual">
      <formula>D883</formula>
    </cfRule>
  </conditionalFormatting>
  <conditionalFormatting sqref="E921">
    <cfRule type="cellIs" dxfId="44" priority="43" operator="notEqual">
      <formula>D917+D920</formula>
    </cfRule>
  </conditionalFormatting>
  <conditionalFormatting sqref="E920">
    <cfRule type="cellIs" dxfId="43" priority="45" operator="notEqual">
      <formula>D920</formula>
    </cfRule>
  </conditionalFormatting>
  <conditionalFormatting sqref="E917">
    <cfRule type="cellIs" dxfId="42" priority="44" operator="notEqual">
      <formula>D917</formula>
    </cfRule>
  </conditionalFormatting>
  <conditionalFormatting sqref="E955">
    <cfRule type="cellIs" dxfId="41" priority="40" operator="notEqual">
      <formula>D951+D954</formula>
    </cfRule>
  </conditionalFormatting>
  <conditionalFormatting sqref="E954">
    <cfRule type="cellIs" dxfId="40" priority="42" operator="notEqual">
      <formula>D954</formula>
    </cfRule>
  </conditionalFormatting>
  <conditionalFormatting sqref="E951">
    <cfRule type="cellIs" dxfId="39" priority="41" operator="notEqual">
      <formula>D951</formula>
    </cfRule>
  </conditionalFormatting>
  <conditionalFormatting sqref="E989">
    <cfRule type="cellIs" dxfId="38" priority="37" operator="notEqual">
      <formula>D985+D988</formula>
    </cfRule>
  </conditionalFormatting>
  <conditionalFormatting sqref="E988">
    <cfRule type="cellIs" dxfId="37" priority="39" operator="notEqual">
      <formula>D988</formula>
    </cfRule>
  </conditionalFormatting>
  <conditionalFormatting sqref="E985">
    <cfRule type="cellIs" dxfId="36" priority="38" operator="notEqual">
      <formula>D985</formula>
    </cfRule>
  </conditionalFormatting>
  <conditionalFormatting sqref="E1023">
    <cfRule type="cellIs" dxfId="35" priority="34" operator="notEqual">
      <formula>D1019+D1022</formula>
    </cfRule>
  </conditionalFormatting>
  <conditionalFormatting sqref="E1022">
    <cfRule type="cellIs" dxfId="34" priority="36" operator="notEqual">
      <formula>D1022</formula>
    </cfRule>
  </conditionalFormatting>
  <conditionalFormatting sqref="E1019">
    <cfRule type="cellIs" dxfId="33" priority="35" operator="notEqual">
      <formula>D1019</formula>
    </cfRule>
  </conditionalFormatting>
  <conditionalFormatting sqref="E1057">
    <cfRule type="cellIs" dxfId="32" priority="31" operator="notEqual">
      <formula>D1053+D1056</formula>
    </cfRule>
  </conditionalFormatting>
  <conditionalFormatting sqref="E1056">
    <cfRule type="cellIs" dxfId="31" priority="33" operator="notEqual">
      <formula>D1056</formula>
    </cfRule>
  </conditionalFormatting>
  <conditionalFormatting sqref="E1053">
    <cfRule type="cellIs" dxfId="30" priority="32" operator="notEqual">
      <formula>D1053</formula>
    </cfRule>
  </conditionalFormatting>
  <conditionalFormatting sqref="E1091">
    <cfRule type="cellIs" dxfId="29" priority="28" operator="notEqual">
      <formula>D1087+D1090</formula>
    </cfRule>
  </conditionalFormatting>
  <conditionalFormatting sqref="E1090">
    <cfRule type="cellIs" dxfId="28" priority="30" operator="notEqual">
      <formula>D1090</formula>
    </cfRule>
  </conditionalFormatting>
  <conditionalFormatting sqref="E1087">
    <cfRule type="cellIs" dxfId="27" priority="29" operator="notEqual">
      <formula>D1087</formula>
    </cfRule>
  </conditionalFormatting>
  <conditionalFormatting sqref="E1125">
    <cfRule type="cellIs" dxfId="26" priority="25" operator="notEqual">
      <formula>D1121+D1124</formula>
    </cfRule>
  </conditionalFormatting>
  <conditionalFormatting sqref="E1124">
    <cfRule type="cellIs" dxfId="25" priority="27" operator="notEqual">
      <formula>D1124</formula>
    </cfRule>
  </conditionalFormatting>
  <conditionalFormatting sqref="E1121">
    <cfRule type="cellIs" dxfId="24" priority="26" operator="notEqual">
      <formula>D1121</formula>
    </cfRule>
  </conditionalFormatting>
  <conditionalFormatting sqref="E1159">
    <cfRule type="cellIs" dxfId="23" priority="22" operator="notEqual">
      <formula>D1155+D1158</formula>
    </cfRule>
  </conditionalFormatting>
  <conditionalFormatting sqref="E1158">
    <cfRule type="cellIs" dxfId="22" priority="24" operator="notEqual">
      <formula>D1158</formula>
    </cfRule>
  </conditionalFormatting>
  <conditionalFormatting sqref="E1155">
    <cfRule type="cellIs" dxfId="21" priority="23" operator="notEqual">
      <formula>D1155</formula>
    </cfRule>
  </conditionalFormatting>
  <conditionalFormatting sqref="E1193">
    <cfRule type="cellIs" dxfId="20" priority="19" operator="notEqual">
      <formula>D1189+D1192</formula>
    </cfRule>
  </conditionalFormatting>
  <conditionalFormatting sqref="E1192">
    <cfRule type="cellIs" dxfId="19" priority="21" operator="notEqual">
      <formula>D1192</formula>
    </cfRule>
  </conditionalFormatting>
  <conditionalFormatting sqref="E1189">
    <cfRule type="cellIs" dxfId="18" priority="20" operator="notEqual">
      <formula>D1189</formula>
    </cfRule>
  </conditionalFormatting>
  <conditionalFormatting sqref="E1227">
    <cfRule type="cellIs" dxfId="17" priority="16" operator="notEqual">
      <formula>D1223+D1226</formula>
    </cfRule>
  </conditionalFormatting>
  <conditionalFormatting sqref="E1226">
    <cfRule type="cellIs" dxfId="16" priority="18" operator="notEqual">
      <formula>D1226</formula>
    </cfRule>
  </conditionalFormatting>
  <conditionalFormatting sqref="E1223">
    <cfRule type="cellIs" dxfId="15" priority="17" operator="notEqual">
      <formula>D1223</formula>
    </cfRule>
  </conditionalFormatting>
  <conditionalFormatting sqref="E1261">
    <cfRule type="cellIs" dxfId="14" priority="13" operator="notEqual">
      <formula>D1257+D1260</formula>
    </cfRule>
  </conditionalFormatting>
  <conditionalFormatting sqref="E1260">
    <cfRule type="cellIs" dxfId="13" priority="15" operator="notEqual">
      <formula>D1260</formula>
    </cfRule>
  </conditionalFormatting>
  <conditionalFormatting sqref="E1257">
    <cfRule type="cellIs" dxfId="12" priority="14" operator="notEqual">
      <formula>D1257</formula>
    </cfRule>
  </conditionalFormatting>
  <conditionalFormatting sqref="E1295">
    <cfRule type="cellIs" dxfId="11" priority="10" operator="notEqual">
      <formula>D1291+D1294</formula>
    </cfRule>
  </conditionalFormatting>
  <conditionalFormatting sqref="E1294">
    <cfRule type="cellIs" dxfId="10" priority="12" operator="notEqual">
      <formula>D1294</formula>
    </cfRule>
  </conditionalFormatting>
  <conditionalFormatting sqref="E1291">
    <cfRule type="cellIs" dxfId="9" priority="11" operator="notEqual">
      <formula>D1291</formula>
    </cfRule>
  </conditionalFormatting>
  <conditionalFormatting sqref="E1329">
    <cfRule type="cellIs" dxfId="8" priority="7" operator="notEqual">
      <formula>D1325+D1328</formula>
    </cfRule>
  </conditionalFormatting>
  <conditionalFormatting sqref="E1328">
    <cfRule type="cellIs" dxfId="7" priority="9" operator="notEqual">
      <formula>D1328</formula>
    </cfRule>
  </conditionalFormatting>
  <conditionalFormatting sqref="E1325">
    <cfRule type="cellIs" dxfId="6" priority="8" operator="notEqual">
      <formula>D1325</formula>
    </cfRule>
  </conditionalFormatting>
  <conditionalFormatting sqref="E1363">
    <cfRule type="cellIs" dxfId="5" priority="4" operator="notEqual">
      <formula>D1359+D1362</formula>
    </cfRule>
  </conditionalFormatting>
  <conditionalFormatting sqref="E1362">
    <cfRule type="cellIs" dxfId="4" priority="6" operator="notEqual">
      <formula>D1362</formula>
    </cfRule>
  </conditionalFormatting>
  <conditionalFormatting sqref="E1359">
    <cfRule type="cellIs" dxfId="3" priority="5" operator="notEqual">
      <formula>D1359</formula>
    </cfRule>
  </conditionalFormatting>
  <conditionalFormatting sqref="E1397">
    <cfRule type="cellIs" dxfId="2" priority="1" operator="notEqual">
      <formula>D1393+D1396</formula>
    </cfRule>
  </conditionalFormatting>
  <conditionalFormatting sqref="E1396">
    <cfRule type="cellIs" dxfId="1" priority="3" operator="notEqual">
      <formula>D1396</formula>
    </cfRule>
  </conditionalFormatting>
  <conditionalFormatting sqref="E1393">
    <cfRule type="cellIs" dxfId="0" priority="2" operator="notEqual">
      <formula>D1393</formula>
    </cfRule>
  </conditionalFormatting>
  <printOptions horizontalCentered="1"/>
  <pageMargins left="0.59055118110236227" right="0.19685039370078741" top="0.19685039370078741" bottom="0.19685039370078741" header="0.51181102362204722" footer="0.51181102362204722"/>
  <pageSetup paperSize="9" scale="98" fitToHeight="0" orientation="portrait" r:id="rId1"/>
  <headerFooter alignWithMargins="0"/>
  <rowBreaks count="40" manualBreakCount="40">
    <brk id="41" max="3" man="1"/>
    <brk id="75" max="3" man="1"/>
    <brk id="109" max="3" man="1"/>
    <brk id="143" max="3" man="1"/>
    <brk id="177" max="3" man="1"/>
    <brk id="211" max="3" man="1"/>
    <brk id="245" max="3" man="1"/>
    <brk id="279" max="3" man="1"/>
    <brk id="313" max="3" man="1"/>
    <brk id="347" max="3" man="1"/>
    <brk id="381" max="3" man="1"/>
    <brk id="415" max="3" man="1"/>
    <brk id="449" max="3" man="1"/>
    <brk id="483" max="3" man="1"/>
    <brk id="517" max="3" man="1"/>
    <brk id="551" max="3" man="1"/>
    <brk id="585" max="3" man="1"/>
    <brk id="619" max="3" man="1"/>
    <brk id="653" max="3" man="1"/>
    <brk id="687" max="3" man="1"/>
    <brk id="721" max="3" man="1"/>
    <brk id="755" max="3" man="1"/>
    <brk id="789" max="3" man="1"/>
    <brk id="823" max="3" man="1"/>
    <brk id="857" max="3" man="1"/>
    <brk id="891" max="3" man="1"/>
    <brk id="925" max="3" man="1"/>
    <brk id="959" max="3" man="1"/>
    <brk id="993" max="3" man="1"/>
    <brk id="1027" max="3" man="1"/>
    <brk id="1061" max="3" man="1"/>
    <brk id="1095" max="3" man="1"/>
    <brk id="1129" max="3" man="1"/>
    <brk id="1163" max="3" man="1"/>
    <brk id="1197" max="3" man="1"/>
    <brk id="1231" max="3" man="1"/>
    <brk id="1265" max="3" man="1"/>
    <brk id="1299" max="3" man="1"/>
    <brk id="1333" max="3" man="1"/>
    <brk id="1367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/>
  <dimension ref="A1:BZ388"/>
  <sheetViews>
    <sheetView showGridLines="0" showZeros="0" workbookViewId="0">
      <pane xSplit="1" ySplit="4" topLeftCell="BK5" activePane="bottomRight" state="frozen"/>
      <selection pane="topRight" activeCell="B1" sqref="B1"/>
      <selection pane="bottomLeft" activeCell="A5" sqref="A5"/>
      <selection pane="bottomRight" activeCell="BK4" sqref="BK4"/>
    </sheetView>
  </sheetViews>
  <sheetFormatPr defaultColWidth="9.140625" defaultRowHeight="12.75" outlineLevelCol="1"/>
  <cols>
    <col min="1" max="1" width="0" style="4" hidden="1" customWidth="1"/>
    <col min="2" max="2" width="19.5703125" style="4" hidden="1" customWidth="1"/>
    <col min="3" max="3" width="21.85546875" style="4" hidden="1" customWidth="1"/>
    <col min="4" max="4" width="9.140625" style="4" hidden="1" customWidth="1" outlineLevel="1"/>
    <col min="5" max="5" width="12.140625" style="4" hidden="1" customWidth="1" outlineLevel="1"/>
    <col min="6" max="6" width="10" style="4" hidden="1" customWidth="1" outlineLevel="1"/>
    <col min="7" max="7" width="9.140625" style="4" hidden="1" customWidth="1" outlineLevel="1"/>
    <col min="8" max="8" width="10.7109375" style="4" hidden="1" customWidth="1" outlineLevel="1"/>
    <col min="9" max="9" width="12.140625" style="16" hidden="1" customWidth="1" outlineLevel="1"/>
    <col min="10" max="11" width="10.7109375" style="3" hidden="1" customWidth="1" outlineLevel="1"/>
    <col min="12" max="12" width="10.7109375" style="4" hidden="1" customWidth="1" outlineLevel="1"/>
    <col min="13" max="13" width="12.140625" style="16" hidden="1" customWidth="1" outlineLevel="1"/>
    <col min="14" max="14" width="10.7109375" style="3" hidden="1" customWidth="1" outlineLevel="1"/>
    <col min="15" max="15" width="0" style="4" hidden="1" customWidth="1"/>
    <col min="16" max="16" width="10.7109375" style="4" hidden="1" customWidth="1" outlineLevel="1"/>
    <col min="17" max="17" width="12.140625" style="16" hidden="1" customWidth="1" outlineLevel="1"/>
    <col min="18" max="19" width="10.7109375" style="3" hidden="1" customWidth="1" outlineLevel="1"/>
    <col min="20" max="20" width="10.7109375" style="4" hidden="1" customWidth="1" outlineLevel="1"/>
    <col min="21" max="21" width="12.140625" style="16" hidden="1" customWidth="1" outlineLevel="1"/>
    <col min="22" max="22" width="10.7109375" style="3" hidden="1" customWidth="1" outlineLevel="1"/>
    <col min="23" max="23" width="9.140625" style="4" hidden="1" customWidth="1"/>
    <col min="24" max="24" width="22.5703125" style="4" hidden="1" customWidth="1"/>
    <col min="25" max="25" width="12.140625" style="4" hidden="1" customWidth="1"/>
    <col min="26" max="26" width="10.140625" style="4" hidden="1" customWidth="1"/>
    <col min="27" max="27" width="9.140625" style="4" hidden="1" customWidth="1"/>
    <col min="28" max="28" width="12.140625" style="4" hidden="1" customWidth="1"/>
    <col min="29" max="29" width="10" style="4" hidden="1" customWidth="1"/>
    <col min="30" max="30" width="0" style="4" hidden="1" customWidth="1"/>
    <col min="31" max="31" width="0" style="4" hidden="1" customWidth="1" outlineLevel="1"/>
    <col min="32" max="32" width="0" style="41" hidden="1" customWidth="1" outlineLevel="1"/>
    <col min="33" max="33" width="0" style="43" hidden="1" customWidth="1" outlineLevel="1"/>
    <col min="34" max="34" width="10" style="4" hidden="1" customWidth="1" outlineLevel="1"/>
    <col min="35" max="39" width="0" style="40" hidden="1" customWidth="1" outlineLevel="1"/>
    <col min="40" max="40" width="2.85546875" style="4" hidden="1" customWidth="1" outlineLevel="1"/>
    <col min="41" max="44" width="10.140625" style="40" hidden="1" customWidth="1" outlineLevel="1"/>
    <col min="45" max="45" width="0" style="4" hidden="1" customWidth="1" outlineLevel="1"/>
    <col min="46" max="55" width="9.140625" style="4" hidden="1" customWidth="1" outlineLevel="1"/>
    <col min="56" max="56" width="33.42578125" style="4" hidden="1" customWidth="1" outlineLevel="1"/>
    <col min="57" max="57" width="74.28515625" style="4" hidden="1" customWidth="1" outlineLevel="1"/>
    <col min="58" max="58" width="11.7109375" style="4" hidden="1" customWidth="1" outlineLevel="1"/>
    <col min="59" max="60" width="0" style="4" hidden="1" customWidth="1" outlineLevel="1"/>
    <col min="61" max="61" width="12.140625" style="4" hidden="1" customWidth="1" outlineLevel="1"/>
    <col min="62" max="62" width="0" style="4" hidden="1" customWidth="1" outlineLevel="1"/>
    <col min="63" max="63" width="9.140625" style="4" collapsed="1"/>
    <col min="64" max="16384" width="9.140625" style="4"/>
  </cols>
  <sheetData>
    <row r="1" spans="1:78" ht="12.75" customHeight="1">
      <c r="D1" s="301" t="s">
        <v>91</v>
      </c>
      <c r="E1" s="301"/>
      <c r="F1" s="301"/>
      <c r="H1" s="301" t="s">
        <v>92</v>
      </c>
      <c r="I1" s="301"/>
      <c r="J1" s="301"/>
      <c r="K1" s="38"/>
      <c r="L1" s="301" t="s">
        <v>125</v>
      </c>
      <c r="M1" s="301"/>
      <c r="N1" s="301"/>
      <c r="P1" s="301" t="s">
        <v>92</v>
      </c>
      <c r="Q1" s="301"/>
      <c r="R1" s="301"/>
      <c r="S1" s="39"/>
      <c r="T1" s="301" t="s">
        <v>125</v>
      </c>
      <c r="U1" s="301"/>
      <c r="V1" s="301"/>
      <c r="AA1" s="302" t="s">
        <v>101</v>
      </c>
      <c r="AB1" s="302"/>
      <c r="AC1" s="302"/>
      <c r="AI1" s="304" t="s">
        <v>166</v>
      </c>
      <c r="AJ1" s="304"/>
      <c r="AK1" s="304"/>
      <c r="AL1" s="304"/>
      <c r="AM1" s="304"/>
      <c r="AO1" s="304" t="s">
        <v>167</v>
      </c>
      <c r="AP1" s="304"/>
      <c r="AQ1" s="304"/>
      <c r="AR1" s="304"/>
      <c r="AS1" s="65"/>
    </row>
    <row r="2" spans="1:78" ht="15.75">
      <c r="D2" s="1"/>
      <c r="E2" s="1"/>
      <c r="F2" s="2"/>
      <c r="H2" s="1"/>
      <c r="I2" s="1"/>
      <c r="J2" s="2"/>
      <c r="K2" s="2"/>
      <c r="L2" s="1"/>
      <c r="M2" s="1"/>
      <c r="N2" s="2"/>
      <c r="P2" s="1"/>
      <c r="Q2" s="1"/>
      <c r="R2" s="2"/>
      <c r="S2" s="2"/>
      <c r="T2" s="1"/>
      <c r="U2" s="1"/>
      <c r="V2" s="2"/>
      <c r="AA2" s="1"/>
      <c r="AB2" s="1"/>
      <c r="AC2" s="2"/>
      <c r="AI2" s="51"/>
      <c r="AJ2" s="51"/>
      <c r="AK2" s="51"/>
      <c r="AL2" s="303"/>
      <c r="AM2" s="303"/>
      <c r="AO2" s="51"/>
      <c r="AP2" s="51"/>
      <c r="AQ2" s="303"/>
      <c r="AR2" s="303"/>
    </row>
    <row r="3" spans="1:78" s="8" customFormat="1" ht="30.75" customHeight="1">
      <c r="A3" s="27" t="s">
        <v>61</v>
      </c>
      <c r="B3" s="26"/>
      <c r="D3" s="5" t="s">
        <v>43</v>
      </c>
      <c r="E3" s="6" t="s">
        <v>44</v>
      </c>
      <c r="F3" s="7" t="s">
        <v>45</v>
      </c>
      <c r="H3" s="5" t="s">
        <v>43</v>
      </c>
      <c r="I3" s="6" t="s">
        <v>44</v>
      </c>
      <c r="J3" s="7" t="s">
        <v>45</v>
      </c>
      <c r="K3" s="4"/>
      <c r="L3" s="5" t="s">
        <v>43</v>
      </c>
      <c r="M3" s="6" t="s">
        <v>44</v>
      </c>
      <c r="N3" s="7" t="s">
        <v>45</v>
      </c>
      <c r="P3" s="5" t="s">
        <v>43</v>
      </c>
      <c r="Q3" s="6" t="s">
        <v>44</v>
      </c>
      <c r="R3" s="7" t="s">
        <v>45</v>
      </c>
      <c r="S3" s="4"/>
      <c r="T3" s="5" t="s">
        <v>43</v>
      </c>
      <c r="U3" s="6" t="s">
        <v>44</v>
      </c>
      <c r="V3" s="7" t="s">
        <v>45</v>
      </c>
      <c r="AA3" s="5" t="s">
        <v>43</v>
      </c>
      <c r="AB3" s="6" t="s">
        <v>44</v>
      </c>
      <c r="AC3" s="7" t="s">
        <v>45</v>
      </c>
      <c r="AF3" s="42" t="s">
        <v>165</v>
      </c>
      <c r="AG3" s="44" t="s">
        <v>128</v>
      </c>
      <c r="AI3" s="52" t="s">
        <v>43</v>
      </c>
      <c r="AJ3" s="53" t="s">
        <v>44</v>
      </c>
      <c r="AK3" s="62" t="s">
        <v>45</v>
      </c>
      <c r="AL3" s="53" t="s">
        <v>44</v>
      </c>
      <c r="AM3" s="62" t="s">
        <v>45</v>
      </c>
      <c r="AO3" s="53" t="s">
        <v>44</v>
      </c>
      <c r="AP3" s="62" t="s">
        <v>45</v>
      </c>
      <c r="AQ3" s="53" t="s">
        <v>44</v>
      </c>
      <c r="AR3" s="62" t="s">
        <v>45</v>
      </c>
    </row>
    <row r="4" spans="1:78" s="8" customFormat="1" ht="15" customHeight="1">
      <c r="D4" s="9">
        <v>12</v>
      </c>
      <c r="E4" s="10"/>
      <c r="F4" s="23">
        <f>B20*100</f>
        <v>6.9</v>
      </c>
      <c r="H4" s="9">
        <v>12</v>
      </c>
      <c r="I4" s="10"/>
      <c r="J4" s="23">
        <f>B21*100</f>
        <v>6.5</v>
      </c>
      <c r="K4" s="4"/>
      <c r="L4" s="9">
        <v>12</v>
      </c>
      <c r="M4" s="10"/>
      <c r="N4" s="23">
        <f>B22*100</f>
        <v>5.5</v>
      </c>
      <c r="P4" s="9">
        <v>12</v>
      </c>
      <c r="Q4" s="10"/>
      <c r="R4" s="23">
        <f>C21*100</f>
        <v>5.0999999999999996</v>
      </c>
      <c r="S4" s="4"/>
      <c r="T4" s="9">
        <v>12</v>
      </c>
      <c r="U4" s="10"/>
      <c r="V4" s="23">
        <f>C22*100</f>
        <v>5.0999999999999996</v>
      </c>
      <c r="AA4" s="9">
        <v>12</v>
      </c>
      <c r="AB4" s="10"/>
      <c r="AC4" s="23">
        <f>B19*100</f>
        <v>7.3</v>
      </c>
      <c r="AE4" s="17" t="s">
        <v>13</v>
      </c>
      <c r="AF4" s="305" t="s">
        <v>14</v>
      </c>
      <c r="AG4" s="306"/>
      <c r="AI4" s="54">
        <v>12</v>
      </c>
      <c r="AJ4" s="55">
        <v>2014</v>
      </c>
      <c r="AK4" s="56">
        <f>AF19*100</f>
        <v>5.0999999999999996</v>
      </c>
      <c r="AL4" s="55">
        <v>2015</v>
      </c>
      <c r="AM4" s="56">
        <f>AF20*100</f>
        <v>5.0999999999999996</v>
      </c>
      <c r="AO4" s="55">
        <v>2014</v>
      </c>
      <c r="AP4" s="56">
        <f>AG19*100</f>
        <v>5.8999999999999995</v>
      </c>
      <c r="AQ4" s="55">
        <v>2015</v>
      </c>
      <c r="AR4" s="56">
        <f>AG20*100</f>
        <v>4.7</v>
      </c>
    </row>
    <row r="5" spans="1:78">
      <c r="D5" s="11">
        <v>1</v>
      </c>
      <c r="E5" s="12">
        <v>41275</v>
      </c>
      <c r="F5" s="13">
        <f t="shared" ref="F5:F24" si="0">F$4/D$4/100/2</f>
        <v>2.8750000000000004E-3</v>
      </c>
      <c r="H5" s="11">
        <v>1</v>
      </c>
      <c r="I5" s="12">
        <v>41640</v>
      </c>
      <c r="J5" s="13">
        <f t="shared" ref="J5:J24" si="1">J$4/H$4/100/2</f>
        <v>2.708333333333333E-3</v>
      </c>
      <c r="K5" s="4"/>
      <c r="L5" s="11">
        <v>1</v>
      </c>
      <c r="M5" s="12">
        <v>42005</v>
      </c>
      <c r="N5" s="13">
        <f>N$4/L$4/100/2</f>
        <v>2.2916666666666667E-3</v>
      </c>
      <c r="O5" s="31"/>
      <c r="P5" s="11">
        <v>1</v>
      </c>
      <c r="Q5" s="12">
        <v>41640</v>
      </c>
      <c r="R5" s="13">
        <f t="shared" ref="R5:R24" si="2">R$4/P$4/100/2</f>
        <v>2.1250000000000002E-3</v>
      </c>
      <c r="S5" s="4"/>
      <c r="T5" s="11">
        <v>1</v>
      </c>
      <c r="U5" s="12">
        <v>42005</v>
      </c>
      <c r="V5" s="13">
        <f>V$4/T$4/100/2</f>
        <v>2.1250000000000002E-3</v>
      </c>
      <c r="W5" s="4" t="s">
        <v>65</v>
      </c>
      <c r="AA5" s="11">
        <v>1</v>
      </c>
      <c r="AB5" s="12">
        <v>40909</v>
      </c>
      <c r="AC5" s="13">
        <f>AC$4/AA$4/100/2</f>
        <v>3.0416666666666665E-3</v>
      </c>
      <c r="AE5" s="18">
        <v>2000</v>
      </c>
      <c r="AF5" s="45"/>
      <c r="AG5" s="47"/>
      <c r="AI5" s="57">
        <v>1</v>
      </c>
      <c r="AJ5" s="58">
        <v>41640</v>
      </c>
      <c r="AK5" s="59">
        <f>AK$4/AI$4/100</f>
        <v>4.2500000000000003E-3</v>
      </c>
      <c r="AL5" s="58">
        <v>42005</v>
      </c>
      <c r="AM5" s="59">
        <f t="shared" ref="AM5:AM40" si="3">AM$4/AI$4/100</f>
        <v>4.2500000000000003E-3</v>
      </c>
      <c r="AO5" s="58">
        <v>41640</v>
      </c>
      <c r="AP5" s="59">
        <f t="shared" ref="AP5:AP40" si="4">AP$4/AI$4/100</f>
        <v>4.9166666666666664E-3</v>
      </c>
      <c r="AQ5" s="58">
        <v>42005</v>
      </c>
      <c r="AR5" s="59">
        <f t="shared" ref="AR5:AR40" si="5">AR$4/AI$4/100</f>
        <v>3.9166666666666664E-3</v>
      </c>
      <c r="BC5" s="70" t="s">
        <v>131</v>
      </c>
      <c r="BD5" s="73" t="s">
        <v>128</v>
      </c>
      <c r="BE5" s="73" t="s">
        <v>168</v>
      </c>
      <c r="BF5" s="73">
        <v>1</v>
      </c>
      <c r="BG5" s="67"/>
      <c r="BH5" s="68"/>
      <c r="BI5" s="68"/>
      <c r="BJ5" s="67"/>
      <c r="BK5" s="67"/>
      <c r="BL5" s="67"/>
      <c r="BM5" s="67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</row>
    <row r="6" spans="1:78" ht="25.5">
      <c r="A6" s="17" t="s">
        <v>13</v>
      </c>
      <c r="B6" s="17" t="s">
        <v>14</v>
      </c>
      <c r="C6" s="17" t="s">
        <v>93</v>
      </c>
      <c r="D6" s="14">
        <v>2</v>
      </c>
      <c r="E6" s="12">
        <v>41276</v>
      </c>
      <c r="F6" s="15">
        <f t="shared" si="0"/>
        <v>2.8750000000000004E-3</v>
      </c>
      <c r="H6" s="14">
        <v>2</v>
      </c>
      <c r="I6" s="12">
        <v>41641</v>
      </c>
      <c r="J6" s="15">
        <f t="shared" si="1"/>
        <v>2.708333333333333E-3</v>
      </c>
      <c r="K6" s="4"/>
      <c r="L6" s="14">
        <v>2</v>
      </c>
      <c r="M6" s="12">
        <v>42006</v>
      </c>
      <c r="N6" s="15">
        <f>N$4/L$4/100/2</f>
        <v>2.2916666666666667E-3</v>
      </c>
      <c r="O6" s="31"/>
      <c r="P6" s="14">
        <v>2</v>
      </c>
      <c r="Q6" s="12">
        <v>41641</v>
      </c>
      <c r="R6" s="15">
        <f t="shared" si="2"/>
        <v>2.1250000000000002E-3</v>
      </c>
      <c r="S6" s="4"/>
      <c r="T6" s="14">
        <v>2</v>
      </c>
      <c r="U6" s="12">
        <v>42006</v>
      </c>
      <c r="V6" s="15">
        <f>V$4/T$4/100/2</f>
        <v>2.1250000000000002E-3</v>
      </c>
      <c r="W6" s="17" t="s">
        <v>13</v>
      </c>
      <c r="X6" s="17" t="s">
        <v>14</v>
      </c>
      <c r="Y6" s="17" t="s">
        <v>14</v>
      </c>
      <c r="AA6" s="14">
        <v>2</v>
      </c>
      <c r="AB6" s="12">
        <v>40910</v>
      </c>
      <c r="AC6" s="15">
        <f t="shared" ref="AC6:AC24" si="6">AC$4/AA$4/100/2</f>
        <v>3.0416666666666665E-3</v>
      </c>
      <c r="AE6" s="20">
        <v>2001</v>
      </c>
      <c r="AF6" s="46"/>
      <c r="AG6" s="48"/>
      <c r="AI6" s="60">
        <v>2</v>
      </c>
      <c r="AJ6" s="58">
        <v>41641</v>
      </c>
      <c r="AK6" s="61">
        <f t="shared" ref="AK6:AK40" si="7">AK$4/AI$4/100</f>
        <v>4.2500000000000003E-3</v>
      </c>
      <c r="AL6" s="58">
        <v>42006</v>
      </c>
      <c r="AM6" s="61">
        <f t="shared" si="3"/>
        <v>4.2500000000000003E-3</v>
      </c>
      <c r="AO6" s="58">
        <v>41641</v>
      </c>
      <c r="AP6" s="61">
        <f t="shared" si="4"/>
        <v>4.9166666666666664E-3</v>
      </c>
      <c r="AQ6" s="58">
        <v>42006</v>
      </c>
      <c r="AR6" s="61">
        <f t="shared" si="5"/>
        <v>3.9166666666666664E-3</v>
      </c>
      <c r="BC6" s="70" t="s">
        <v>130</v>
      </c>
      <c r="BD6" s="73" t="s">
        <v>194</v>
      </c>
      <c r="BE6" s="73" t="s">
        <v>168</v>
      </c>
      <c r="BF6" s="73">
        <v>1</v>
      </c>
      <c r="BG6" s="67"/>
      <c r="BH6" s="68"/>
      <c r="BI6" s="68"/>
      <c r="BJ6" s="67"/>
      <c r="BK6" s="67"/>
      <c r="BL6" s="67"/>
      <c r="BM6" s="67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</row>
    <row r="7" spans="1:78">
      <c r="A7" s="18">
        <v>2000</v>
      </c>
      <c r="B7" s="19">
        <v>0.3332</v>
      </c>
      <c r="C7" s="19"/>
      <c r="D7" s="14">
        <v>3</v>
      </c>
      <c r="E7" s="12">
        <v>41277</v>
      </c>
      <c r="F7" s="15">
        <f t="shared" si="0"/>
        <v>2.8750000000000004E-3</v>
      </c>
      <c r="H7" s="14">
        <v>3</v>
      </c>
      <c r="I7" s="12">
        <v>41642</v>
      </c>
      <c r="J7" s="15">
        <f t="shared" si="1"/>
        <v>2.708333333333333E-3</v>
      </c>
      <c r="K7" s="4"/>
      <c r="L7" s="14">
        <v>3</v>
      </c>
      <c r="M7" s="12">
        <v>42007</v>
      </c>
      <c r="N7" s="15">
        <f t="shared" ref="N7:N24" si="8">N$4/L$4/100/2</f>
        <v>2.2916666666666667E-3</v>
      </c>
      <c r="O7" s="31"/>
      <c r="P7" s="14">
        <v>3</v>
      </c>
      <c r="Q7" s="12">
        <v>41642</v>
      </c>
      <c r="R7" s="15">
        <f t="shared" si="2"/>
        <v>2.1250000000000002E-3</v>
      </c>
      <c r="S7" s="4"/>
      <c r="T7" s="14">
        <v>3</v>
      </c>
      <c r="U7" s="12">
        <v>42007</v>
      </c>
      <c r="V7" s="15">
        <f t="shared" ref="V7:V24" si="9">V$4/T$4/100/2</f>
        <v>2.1250000000000002E-3</v>
      </c>
      <c r="W7" s="18">
        <v>2000</v>
      </c>
      <c r="X7" s="19"/>
      <c r="Y7" s="19"/>
      <c r="AA7" s="14">
        <v>3</v>
      </c>
      <c r="AB7" s="12">
        <v>40911</v>
      </c>
      <c r="AC7" s="15">
        <f t="shared" si="6"/>
        <v>3.0416666666666665E-3</v>
      </c>
      <c r="AE7" s="20">
        <v>2002</v>
      </c>
      <c r="AF7" s="46"/>
      <c r="AG7" s="48"/>
      <c r="AI7" s="60">
        <v>3</v>
      </c>
      <c r="AJ7" s="58">
        <v>41642</v>
      </c>
      <c r="AK7" s="61">
        <f t="shared" si="7"/>
        <v>4.2500000000000003E-3</v>
      </c>
      <c r="AL7" s="58">
        <v>42007</v>
      </c>
      <c r="AM7" s="61">
        <f t="shared" si="3"/>
        <v>4.2500000000000003E-3</v>
      </c>
      <c r="AO7" s="58">
        <v>41642</v>
      </c>
      <c r="AP7" s="61">
        <f t="shared" si="4"/>
        <v>4.9166666666666664E-3</v>
      </c>
      <c r="AQ7" s="58">
        <v>42007</v>
      </c>
      <c r="AR7" s="61">
        <f t="shared" si="5"/>
        <v>3.9166666666666664E-3</v>
      </c>
      <c r="BC7" s="70" t="s">
        <v>245</v>
      </c>
      <c r="BD7" s="73" t="s">
        <v>195</v>
      </c>
      <c r="BE7" s="73" t="s">
        <v>168</v>
      </c>
      <c r="BF7" s="73">
        <v>1</v>
      </c>
      <c r="BG7" s="67"/>
      <c r="BH7" s="68"/>
      <c r="BI7" s="68"/>
      <c r="BJ7" s="67"/>
      <c r="BK7" s="67"/>
      <c r="BL7" s="67"/>
      <c r="BM7" s="67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</row>
    <row r="8" spans="1:78">
      <c r="A8" s="20">
        <v>2001</v>
      </c>
      <c r="B8" s="21">
        <v>0.27579999999999999</v>
      </c>
      <c r="C8" s="21"/>
      <c r="D8" s="14">
        <v>4</v>
      </c>
      <c r="E8" s="12">
        <v>41278</v>
      </c>
      <c r="F8" s="15">
        <f t="shared" si="0"/>
        <v>2.8750000000000004E-3</v>
      </c>
      <c r="H8" s="14">
        <v>4</v>
      </c>
      <c r="I8" s="12">
        <v>41643</v>
      </c>
      <c r="J8" s="15">
        <f t="shared" si="1"/>
        <v>2.708333333333333E-3</v>
      </c>
      <c r="K8" s="4"/>
      <c r="L8" s="14">
        <v>4</v>
      </c>
      <c r="M8" s="12">
        <v>42008</v>
      </c>
      <c r="N8" s="15">
        <f t="shared" si="8"/>
        <v>2.2916666666666667E-3</v>
      </c>
      <c r="O8" s="31"/>
      <c r="P8" s="14">
        <v>4</v>
      </c>
      <c r="Q8" s="12">
        <v>41643</v>
      </c>
      <c r="R8" s="15">
        <f t="shared" si="2"/>
        <v>2.1250000000000002E-3</v>
      </c>
      <c r="S8" s="4"/>
      <c r="T8" s="14">
        <v>4</v>
      </c>
      <c r="U8" s="12">
        <v>42008</v>
      </c>
      <c r="V8" s="15">
        <f t="shared" si="9"/>
        <v>2.1250000000000002E-3</v>
      </c>
      <c r="W8" s="20">
        <v>2001</v>
      </c>
      <c r="X8" s="21"/>
      <c r="Y8" s="21"/>
      <c r="AA8" s="14">
        <v>4</v>
      </c>
      <c r="AB8" s="12">
        <v>40912</v>
      </c>
      <c r="AC8" s="15">
        <f t="shared" si="6"/>
        <v>3.0416666666666665E-3</v>
      </c>
      <c r="AE8" s="20">
        <v>2003</v>
      </c>
      <c r="AF8" s="46"/>
      <c r="AG8" s="48"/>
      <c r="AI8" s="60">
        <v>4</v>
      </c>
      <c r="AJ8" s="58">
        <v>41643</v>
      </c>
      <c r="AK8" s="61">
        <f t="shared" si="7"/>
        <v>4.2500000000000003E-3</v>
      </c>
      <c r="AL8" s="58">
        <v>42008</v>
      </c>
      <c r="AM8" s="61">
        <f t="shared" si="3"/>
        <v>4.2500000000000003E-3</v>
      </c>
      <c r="AO8" s="58">
        <v>41643</v>
      </c>
      <c r="AP8" s="61">
        <f t="shared" si="4"/>
        <v>4.9166666666666664E-3</v>
      </c>
      <c r="AQ8" s="58">
        <v>42008</v>
      </c>
      <c r="AR8" s="61">
        <f t="shared" si="5"/>
        <v>3.9166666666666664E-3</v>
      </c>
      <c r="BC8" s="70" t="s">
        <v>246</v>
      </c>
      <c r="BD8" s="73" t="s">
        <v>134</v>
      </c>
      <c r="BE8" s="73" t="s">
        <v>151</v>
      </c>
      <c r="BF8" s="73">
        <v>2</v>
      </c>
      <c r="BG8" s="67"/>
      <c r="BH8" s="68"/>
      <c r="BI8" s="68"/>
      <c r="BJ8" s="67"/>
      <c r="BK8" s="67"/>
      <c r="BL8" s="67"/>
      <c r="BM8" s="67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</row>
    <row r="9" spans="1:78">
      <c r="A9" s="20">
        <v>2002</v>
      </c>
      <c r="B9" s="21">
        <v>0.12640000000000001</v>
      </c>
      <c r="C9" s="21"/>
      <c r="D9" s="14">
        <v>5</v>
      </c>
      <c r="E9" s="12">
        <v>41279</v>
      </c>
      <c r="F9" s="15">
        <f t="shared" si="0"/>
        <v>2.8750000000000004E-3</v>
      </c>
      <c r="H9" s="14">
        <v>5</v>
      </c>
      <c r="I9" s="12">
        <v>41644</v>
      </c>
      <c r="J9" s="15">
        <f t="shared" si="1"/>
        <v>2.708333333333333E-3</v>
      </c>
      <c r="K9" s="4"/>
      <c r="L9" s="14">
        <v>5</v>
      </c>
      <c r="M9" s="12">
        <v>42009</v>
      </c>
      <c r="N9" s="15">
        <f t="shared" si="8"/>
        <v>2.2916666666666667E-3</v>
      </c>
      <c r="O9" s="31"/>
      <c r="P9" s="14">
        <v>5</v>
      </c>
      <c r="Q9" s="12">
        <v>41644</v>
      </c>
      <c r="R9" s="15">
        <f t="shared" si="2"/>
        <v>2.1250000000000002E-3</v>
      </c>
      <c r="S9" s="4"/>
      <c r="T9" s="14">
        <v>5</v>
      </c>
      <c r="U9" s="12">
        <v>42009</v>
      </c>
      <c r="V9" s="15">
        <f t="shared" si="9"/>
        <v>2.1250000000000002E-3</v>
      </c>
      <c r="W9" s="20">
        <v>2002</v>
      </c>
      <c r="X9" s="21"/>
      <c r="Y9" s="21"/>
      <c r="AA9" s="14">
        <v>5</v>
      </c>
      <c r="AB9" s="12">
        <v>40913</v>
      </c>
      <c r="AC9" s="15">
        <f t="shared" si="6"/>
        <v>3.0416666666666665E-3</v>
      </c>
      <c r="AE9" s="20">
        <v>2004</v>
      </c>
      <c r="AF9" s="46"/>
      <c r="AG9" s="48"/>
      <c r="AI9" s="60">
        <v>5</v>
      </c>
      <c r="AJ9" s="58">
        <v>41644</v>
      </c>
      <c r="AK9" s="61">
        <f t="shared" si="7"/>
        <v>4.2500000000000003E-3</v>
      </c>
      <c r="AL9" s="58">
        <v>42009</v>
      </c>
      <c r="AM9" s="61">
        <f t="shared" si="3"/>
        <v>4.2500000000000003E-3</v>
      </c>
      <c r="AO9" s="58">
        <v>41644</v>
      </c>
      <c r="AP9" s="61">
        <f t="shared" si="4"/>
        <v>4.9166666666666664E-3</v>
      </c>
      <c r="AQ9" s="58">
        <v>42009</v>
      </c>
      <c r="AR9" s="61">
        <f t="shared" si="5"/>
        <v>3.9166666666666664E-3</v>
      </c>
      <c r="BC9" s="70" t="s">
        <v>247</v>
      </c>
      <c r="BD9" s="73" t="s">
        <v>208</v>
      </c>
      <c r="BE9" s="73" t="s">
        <v>151</v>
      </c>
      <c r="BF9" s="73">
        <v>2</v>
      </c>
      <c r="BG9" s="67"/>
      <c r="BH9" s="68"/>
      <c r="BI9" s="68"/>
      <c r="BJ9" s="67"/>
      <c r="BK9" s="67"/>
      <c r="BL9" s="67"/>
      <c r="BM9" s="67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</row>
    <row r="10" spans="1:78">
      <c r="A10" s="20">
        <v>2003</v>
      </c>
      <c r="B10" s="21">
        <v>0.14940000000000001</v>
      </c>
      <c r="C10" s="21"/>
      <c r="D10" s="14">
        <v>6</v>
      </c>
      <c r="E10" s="12">
        <v>41280</v>
      </c>
      <c r="F10" s="15">
        <f t="shared" si="0"/>
        <v>2.8750000000000004E-3</v>
      </c>
      <c r="H10" s="14">
        <v>6</v>
      </c>
      <c r="I10" s="12">
        <v>41645</v>
      </c>
      <c r="J10" s="15">
        <f t="shared" si="1"/>
        <v>2.708333333333333E-3</v>
      </c>
      <c r="K10" s="4"/>
      <c r="L10" s="14">
        <v>6</v>
      </c>
      <c r="M10" s="12">
        <v>42010</v>
      </c>
      <c r="N10" s="15">
        <f t="shared" si="8"/>
        <v>2.2916666666666667E-3</v>
      </c>
      <c r="O10" s="31"/>
      <c r="P10" s="14">
        <v>6</v>
      </c>
      <c r="Q10" s="12">
        <v>41645</v>
      </c>
      <c r="R10" s="15">
        <f t="shared" si="2"/>
        <v>2.1250000000000002E-3</v>
      </c>
      <c r="S10" s="4"/>
      <c r="T10" s="14">
        <v>6</v>
      </c>
      <c r="U10" s="12">
        <v>42010</v>
      </c>
      <c r="V10" s="15">
        <f t="shared" si="9"/>
        <v>2.1250000000000002E-3</v>
      </c>
      <c r="W10" s="20">
        <v>2003</v>
      </c>
      <c r="X10" s="21"/>
      <c r="Y10" s="21"/>
      <c r="AA10" s="14">
        <v>6</v>
      </c>
      <c r="AB10" s="12">
        <v>40914</v>
      </c>
      <c r="AC10" s="15">
        <f t="shared" si="6"/>
        <v>3.0416666666666665E-3</v>
      </c>
      <c r="AE10" s="20">
        <v>2005</v>
      </c>
      <c r="AF10" s="46"/>
      <c r="AG10" s="48">
        <v>0.127</v>
      </c>
      <c r="AI10" s="60">
        <v>6</v>
      </c>
      <c r="AJ10" s="58">
        <v>41645</v>
      </c>
      <c r="AK10" s="61">
        <f t="shared" si="7"/>
        <v>4.2500000000000003E-3</v>
      </c>
      <c r="AL10" s="58">
        <v>42010</v>
      </c>
      <c r="AM10" s="61">
        <f t="shared" si="3"/>
        <v>4.2500000000000003E-3</v>
      </c>
      <c r="AO10" s="58">
        <v>41645</v>
      </c>
      <c r="AP10" s="61">
        <f t="shared" si="4"/>
        <v>4.9166666666666664E-3</v>
      </c>
      <c r="AQ10" s="58">
        <v>42010</v>
      </c>
      <c r="AR10" s="61">
        <f t="shared" si="5"/>
        <v>3.9166666666666664E-3</v>
      </c>
      <c r="AT10" s="25">
        <f>AG10+1</f>
        <v>1.127</v>
      </c>
      <c r="BC10" s="70" t="s">
        <v>248</v>
      </c>
      <c r="BD10" s="73" t="s">
        <v>196</v>
      </c>
      <c r="BE10" s="73" t="s">
        <v>151</v>
      </c>
      <c r="BF10" s="73">
        <v>2</v>
      </c>
      <c r="BG10" s="67"/>
      <c r="BH10" s="68"/>
      <c r="BI10" s="68"/>
      <c r="BJ10" s="67"/>
      <c r="BK10" s="67"/>
      <c r="BL10" s="67"/>
      <c r="BM10" s="67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</row>
    <row r="11" spans="1:78">
      <c r="A11" s="20">
        <v>2004</v>
      </c>
      <c r="B11" s="21">
        <v>0.158</v>
      </c>
      <c r="C11" s="21"/>
      <c r="D11" s="14">
        <v>7</v>
      </c>
      <c r="E11" s="12">
        <v>41281</v>
      </c>
      <c r="F11" s="15">
        <f t="shared" si="0"/>
        <v>2.8750000000000004E-3</v>
      </c>
      <c r="H11" s="14">
        <v>7</v>
      </c>
      <c r="I11" s="12">
        <v>41646</v>
      </c>
      <c r="J11" s="15">
        <f t="shared" si="1"/>
        <v>2.708333333333333E-3</v>
      </c>
      <c r="K11" s="4"/>
      <c r="L11" s="14">
        <v>7</v>
      </c>
      <c r="M11" s="12">
        <v>42011</v>
      </c>
      <c r="N11" s="15">
        <f t="shared" si="8"/>
        <v>2.2916666666666667E-3</v>
      </c>
      <c r="O11" s="31"/>
      <c r="P11" s="14">
        <v>7</v>
      </c>
      <c r="Q11" s="12">
        <v>41646</v>
      </c>
      <c r="R11" s="15">
        <f t="shared" si="2"/>
        <v>2.1250000000000002E-3</v>
      </c>
      <c r="S11" s="4"/>
      <c r="T11" s="14">
        <v>7</v>
      </c>
      <c r="U11" s="12">
        <v>42011</v>
      </c>
      <c r="V11" s="15">
        <f t="shared" si="9"/>
        <v>2.1250000000000002E-3</v>
      </c>
      <c r="W11" s="20">
        <v>2004</v>
      </c>
      <c r="X11" s="21"/>
      <c r="Y11" s="21"/>
      <c r="AA11" s="14">
        <v>7</v>
      </c>
      <c r="AB11" s="12">
        <v>40915</v>
      </c>
      <c r="AC11" s="15">
        <f t="shared" si="6"/>
        <v>3.0416666666666665E-3</v>
      </c>
      <c r="AE11" s="20">
        <v>2006</v>
      </c>
      <c r="AF11" s="46"/>
      <c r="AG11" s="48">
        <v>9.7000000000000003E-2</v>
      </c>
      <c r="AH11" s="4">
        <v>9.6999999999999993</v>
      </c>
      <c r="AI11" s="60">
        <v>7</v>
      </c>
      <c r="AJ11" s="58">
        <v>41646</v>
      </c>
      <c r="AK11" s="61">
        <f t="shared" si="7"/>
        <v>4.2500000000000003E-3</v>
      </c>
      <c r="AL11" s="58">
        <v>42011</v>
      </c>
      <c r="AM11" s="61">
        <f t="shared" si="3"/>
        <v>4.2500000000000003E-3</v>
      </c>
      <c r="AO11" s="58">
        <v>41646</v>
      </c>
      <c r="AP11" s="61">
        <f t="shared" si="4"/>
        <v>4.9166666666666664E-3</v>
      </c>
      <c r="AQ11" s="58">
        <v>42011</v>
      </c>
      <c r="AR11" s="61">
        <f t="shared" si="5"/>
        <v>3.9166666666666664E-3</v>
      </c>
      <c r="AT11" s="25">
        <f t="shared" ref="AT11:AT18" si="10">AG11+1</f>
        <v>1.097</v>
      </c>
      <c r="BC11" s="70" t="s">
        <v>144</v>
      </c>
      <c r="BD11" s="73" t="s">
        <v>136</v>
      </c>
      <c r="BE11" s="73" t="s">
        <v>151</v>
      </c>
      <c r="BF11" s="73">
        <v>2</v>
      </c>
      <c r="BG11" s="67"/>
      <c r="BH11" s="68"/>
      <c r="BI11" s="68"/>
      <c r="BJ11" s="67"/>
      <c r="BK11" s="67"/>
      <c r="BL11" s="67"/>
      <c r="BM11" s="67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</row>
    <row r="12" spans="1:78">
      <c r="A12" s="20">
        <v>2005</v>
      </c>
      <c r="B12" s="21">
        <v>0.13289999999999999</v>
      </c>
      <c r="C12" s="21"/>
      <c r="D12" s="14">
        <v>8</v>
      </c>
      <c r="E12" s="12">
        <v>41282</v>
      </c>
      <c r="F12" s="15">
        <f t="shared" si="0"/>
        <v>2.8750000000000004E-3</v>
      </c>
      <c r="H12" s="14">
        <v>8</v>
      </c>
      <c r="I12" s="12">
        <v>41647</v>
      </c>
      <c r="J12" s="15">
        <f t="shared" si="1"/>
        <v>2.708333333333333E-3</v>
      </c>
      <c r="K12" s="4"/>
      <c r="L12" s="14">
        <v>8</v>
      </c>
      <c r="M12" s="12">
        <v>42012</v>
      </c>
      <c r="N12" s="15">
        <f t="shared" si="8"/>
        <v>2.2916666666666667E-3</v>
      </c>
      <c r="O12" s="31"/>
      <c r="P12" s="14">
        <v>8</v>
      </c>
      <c r="Q12" s="12">
        <v>41647</v>
      </c>
      <c r="R12" s="15">
        <f t="shared" si="2"/>
        <v>2.1250000000000002E-3</v>
      </c>
      <c r="S12" s="4"/>
      <c r="T12" s="14">
        <v>8</v>
      </c>
      <c r="U12" s="12">
        <v>42012</v>
      </c>
      <c r="V12" s="15">
        <f t="shared" si="9"/>
        <v>2.1250000000000002E-3</v>
      </c>
      <c r="W12" s="20">
        <v>2005</v>
      </c>
      <c r="X12" s="21"/>
      <c r="Y12" s="21"/>
      <c r="AA12" s="14">
        <v>8</v>
      </c>
      <c r="AB12" s="12">
        <v>40916</v>
      </c>
      <c r="AC12" s="15">
        <f t="shared" si="6"/>
        <v>3.0416666666666665E-3</v>
      </c>
      <c r="AE12" s="20">
        <v>2007</v>
      </c>
      <c r="AF12" s="46"/>
      <c r="AG12" s="48">
        <v>8.1000000000000003E-2</v>
      </c>
      <c r="AH12" s="4">
        <v>8.1</v>
      </c>
      <c r="AI12" s="60">
        <v>8</v>
      </c>
      <c r="AJ12" s="58">
        <v>41647</v>
      </c>
      <c r="AK12" s="61">
        <f t="shared" si="7"/>
        <v>4.2500000000000003E-3</v>
      </c>
      <c r="AL12" s="58">
        <v>42012</v>
      </c>
      <c r="AM12" s="61">
        <f t="shared" si="3"/>
        <v>4.2500000000000003E-3</v>
      </c>
      <c r="AO12" s="58">
        <v>41647</v>
      </c>
      <c r="AP12" s="61">
        <f t="shared" si="4"/>
        <v>4.9166666666666664E-3</v>
      </c>
      <c r="AQ12" s="58">
        <v>42012</v>
      </c>
      <c r="AR12" s="61">
        <f t="shared" si="5"/>
        <v>3.9166666666666664E-3</v>
      </c>
      <c r="AT12" s="25">
        <f t="shared" si="10"/>
        <v>1.081</v>
      </c>
      <c r="BC12" s="70" t="s">
        <v>143</v>
      </c>
      <c r="BD12" s="73" t="s">
        <v>197</v>
      </c>
      <c r="BE12" s="73" t="s">
        <v>151</v>
      </c>
      <c r="BF12" s="73">
        <v>2</v>
      </c>
      <c r="BG12" s="67"/>
      <c r="BH12" s="68"/>
      <c r="BI12" s="68"/>
      <c r="BJ12" s="67"/>
      <c r="BK12" s="67"/>
      <c r="BL12" s="67"/>
      <c r="BM12" s="67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</row>
    <row r="13" spans="1:78">
      <c r="A13" s="20">
        <v>2006</v>
      </c>
      <c r="B13" s="21">
        <v>0.111</v>
      </c>
      <c r="C13" s="21"/>
      <c r="D13" s="14">
        <v>9</v>
      </c>
      <c r="E13" s="12">
        <v>41283</v>
      </c>
      <c r="F13" s="15">
        <f t="shared" si="0"/>
        <v>2.8750000000000004E-3</v>
      </c>
      <c r="H13" s="14">
        <v>9</v>
      </c>
      <c r="I13" s="12">
        <v>41648</v>
      </c>
      <c r="J13" s="15">
        <f t="shared" si="1"/>
        <v>2.708333333333333E-3</v>
      </c>
      <c r="K13" s="4"/>
      <c r="L13" s="14">
        <v>9</v>
      </c>
      <c r="M13" s="12">
        <v>42013</v>
      </c>
      <c r="N13" s="15">
        <f t="shared" si="8"/>
        <v>2.2916666666666667E-3</v>
      </c>
      <c r="O13" s="31"/>
      <c r="P13" s="14">
        <v>9</v>
      </c>
      <c r="Q13" s="12">
        <v>41648</v>
      </c>
      <c r="R13" s="15">
        <f t="shared" si="2"/>
        <v>2.1250000000000002E-3</v>
      </c>
      <c r="S13" s="4"/>
      <c r="T13" s="14">
        <v>9</v>
      </c>
      <c r="U13" s="12">
        <v>42013</v>
      </c>
      <c r="V13" s="15">
        <f t="shared" si="9"/>
        <v>2.1250000000000002E-3</v>
      </c>
      <c r="W13" s="20">
        <v>2006</v>
      </c>
      <c r="X13" s="21" t="s">
        <v>107</v>
      </c>
      <c r="Y13" s="21"/>
      <c r="AA13" s="14">
        <v>9</v>
      </c>
      <c r="AB13" s="12">
        <v>40917</v>
      </c>
      <c r="AC13" s="15">
        <f t="shared" si="6"/>
        <v>3.0416666666666665E-3</v>
      </c>
      <c r="AE13" s="20">
        <v>2008</v>
      </c>
      <c r="AF13" s="46"/>
      <c r="AG13" s="48">
        <v>0.14099999999999999</v>
      </c>
      <c r="AI13" s="60">
        <v>9</v>
      </c>
      <c r="AJ13" s="58">
        <v>41648</v>
      </c>
      <c r="AK13" s="61">
        <f t="shared" si="7"/>
        <v>4.2500000000000003E-3</v>
      </c>
      <c r="AL13" s="58">
        <v>42013</v>
      </c>
      <c r="AM13" s="61">
        <f t="shared" si="3"/>
        <v>4.2500000000000003E-3</v>
      </c>
      <c r="AO13" s="58">
        <v>41648</v>
      </c>
      <c r="AP13" s="61">
        <f t="shared" si="4"/>
        <v>4.9166666666666664E-3</v>
      </c>
      <c r="AQ13" s="58">
        <v>42013</v>
      </c>
      <c r="AR13" s="61">
        <f t="shared" si="5"/>
        <v>3.9166666666666664E-3</v>
      </c>
      <c r="AT13" s="25">
        <f t="shared" si="10"/>
        <v>1.141</v>
      </c>
      <c r="BC13" s="70" t="s">
        <v>160</v>
      </c>
      <c r="BD13" s="73" t="s">
        <v>198</v>
      </c>
      <c r="BE13" s="73" t="s">
        <v>151</v>
      </c>
      <c r="BF13" s="73">
        <v>2</v>
      </c>
      <c r="BG13" s="67"/>
      <c r="BH13" s="68"/>
      <c r="BI13" s="68"/>
      <c r="BJ13" s="67"/>
      <c r="BK13" s="67"/>
      <c r="BL13" s="67"/>
      <c r="BM13" s="67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</row>
    <row r="14" spans="1:78">
      <c r="A14" s="20">
        <v>2007</v>
      </c>
      <c r="B14" s="21">
        <v>0.11600000000000001</v>
      </c>
      <c r="C14" s="21"/>
      <c r="D14" s="14">
        <v>10</v>
      </c>
      <c r="E14" s="12">
        <v>41284</v>
      </c>
      <c r="F14" s="15">
        <f t="shared" si="0"/>
        <v>2.8750000000000004E-3</v>
      </c>
      <c r="H14" s="14">
        <v>10</v>
      </c>
      <c r="I14" s="12">
        <v>41649</v>
      </c>
      <c r="J14" s="15">
        <f t="shared" si="1"/>
        <v>2.708333333333333E-3</v>
      </c>
      <c r="K14" s="4"/>
      <c r="L14" s="14">
        <v>10</v>
      </c>
      <c r="M14" s="12">
        <v>42014</v>
      </c>
      <c r="N14" s="15">
        <f t="shared" si="8"/>
        <v>2.2916666666666667E-3</v>
      </c>
      <c r="O14" s="31"/>
      <c r="P14" s="14">
        <v>10</v>
      </c>
      <c r="Q14" s="12">
        <v>41649</v>
      </c>
      <c r="R14" s="15">
        <f t="shared" si="2"/>
        <v>2.1250000000000002E-3</v>
      </c>
      <c r="S14" s="4"/>
      <c r="T14" s="14">
        <v>10</v>
      </c>
      <c r="U14" s="12">
        <v>42014</v>
      </c>
      <c r="V14" s="15">
        <f t="shared" si="9"/>
        <v>2.1250000000000002E-3</v>
      </c>
      <c r="W14" s="20">
        <v>2007</v>
      </c>
      <c r="X14" s="21">
        <v>0.09</v>
      </c>
      <c r="Y14" s="21"/>
      <c r="Z14" s="37" t="s">
        <v>106</v>
      </c>
      <c r="AA14" s="14">
        <v>10</v>
      </c>
      <c r="AB14" s="12">
        <v>40918</v>
      </c>
      <c r="AC14" s="15">
        <f t="shared" si="6"/>
        <v>3.0416666666666665E-3</v>
      </c>
      <c r="AE14" s="20">
        <v>2009</v>
      </c>
      <c r="AF14" s="46"/>
      <c r="AG14" s="48">
        <v>0.11700000000000001</v>
      </c>
      <c r="AI14" s="60">
        <v>10</v>
      </c>
      <c r="AJ14" s="58">
        <v>41649</v>
      </c>
      <c r="AK14" s="61">
        <f t="shared" si="7"/>
        <v>4.2500000000000003E-3</v>
      </c>
      <c r="AL14" s="58">
        <v>42014</v>
      </c>
      <c r="AM14" s="61">
        <f t="shared" si="3"/>
        <v>4.2500000000000003E-3</v>
      </c>
      <c r="AO14" s="58">
        <v>41649</v>
      </c>
      <c r="AP14" s="61">
        <f t="shared" si="4"/>
        <v>4.9166666666666664E-3</v>
      </c>
      <c r="AQ14" s="58">
        <v>42014</v>
      </c>
      <c r="AR14" s="61">
        <f t="shared" si="5"/>
        <v>3.9166666666666664E-3</v>
      </c>
      <c r="AT14" s="25">
        <f t="shared" si="10"/>
        <v>1.117</v>
      </c>
      <c r="BC14" s="70" t="s">
        <v>139</v>
      </c>
      <c r="BD14" s="73" t="s">
        <v>199</v>
      </c>
      <c r="BE14" s="73" t="s">
        <v>151</v>
      </c>
      <c r="BF14" s="73">
        <v>2</v>
      </c>
      <c r="BG14" s="67"/>
      <c r="BH14" s="68"/>
      <c r="BI14" s="68"/>
      <c r="BJ14" s="67"/>
      <c r="BK14" s="67"/>
      <c r="BL14" s="67"/>
      <c r="BM14" s="67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</row>
    <row r="15" spans="1:78">
      <c r="A15" s="20">
        <v>2008</v>
      </c>
      <c r="B15" s="21">
        <v>8.7999999999999995E-2</v>
      </c>
      <c r="C15" s="21">
        <v>0.185</v>
      </c>
      <c r="D15" s="14">
        <v>11</v>
      </c>
      <c r="E15" s="12">
        <v>41285</v>
      </c>
      <c r="F15" s="15">
        <f t="shared" si="0"/>
        <v>2.8750000000000004E-3</v>
      </c>
      <c r="H15" s="14">
        <v>11</v>
      </c>
      <c r="I15" s="12">
        <v>41650</v>
      </c>
      <c r="J15" s="15">
        <f t="shared" si="1"/>
        <v>2.708333333333333E-3</v>
      </c>
      <c r="K15" s="4"/>
      <c r="L15" s="14">
        <v>11</v>
      </c>
      <c r="M15" s="12">
        <v>42015</v>
      </c>
      <c r="N15" s="15">
        <f t="shared" si="8"/>
        <v>2.2916666666666667E-3</v>
      </c>
      <c r="O15" s="31"/>
      <c r="P15" s="14">
        <v>11</v>
      </c>
      <c r="Q15" s="12">
        <v>41650</v>
      </c>
      <c r="R15" s="15">
        <f t="shared" si="2"/>
        <v>2.1250000000000002E-3</v>
      </c>
      <c r="S15" s="4"/>
      <c r="T15" s="14">
        <v>11</v>
      </c>
      <c r="U15" s="12">
        <v>42015</v>
      </c>
      <c r="V15" s="15">
        <f t="shared" si="9"/>
        <v>2.1250000000000002E-3</v>
      </c>
      <c r="W15" s="20">
        <v>2008</v>
      </c>
      <c r="X15" s="21">
        <v>0.14099999999999999</v>
      </c>
      <c r="Y15" s="21">
        <v>7.9000000000000001E-2</v>
      </c>
      <c r="Z15" s="25">
        <f>X15</f>
        <v>0.14099999999999999</v>
      </c>
      <c r="AA15" s="14">
        <v>11</v>
      </c>
      <c r="AB15" s="12">
        <v>40919</v>
      </c>
      <c r="AC15" s="15">
        <f t="shared" si="6"/>
        <v>3.0416666666666665E-3</v>
      </c>
      <c r="AE15" s="20">
        <v>2010</v>
      </c>
      <c r="AF15" s="46">
        <v>7.9000000000000001E-2</v>
      </c>
      <c r="AG15" s="48">
        <v>6.9000000000000006E-2</v>
      </c>
      <c r="AI15" s="60">
        <v>11</v>
      </c>
      <c r="AJ15" s="58">
        <v>41650</v>
      </c>
      <c r="AK15" s="61">
        <f t="shared" si="7"/>
        <v>4.2500000000000003E-3</v>
      </c>
      <c r="AL15" s="58">
        <v>42015</v>
      </c>
      <c r="AM15" s="61">
        <f t="shared" si="3"/>
        <v>4.2500000000000003E-3</v>
      </c>
      <c r="AO15" s="58">
        <v>41650</v>
      </c>
      <c r="AP15" s="61">
        <f t="shared" si="4"/>
        <v>4.9166666666666664E-3</v>
      </c>
      <c r="AQ15" s="58">
        <v>42015</v>
      </c>
      <c r="AR15" s="61">
        <f t="shared" si="5"/>
        <v>3.9166666666666664E-3</v>
      </c>
      <c r="AT15" s="25">
        <f t="shared" si="10"/>
        <v>1.069</v>
      </c>
      <c r="BC15" s="70" t="s">
        <v>140</v>
      </c>
      <c r="BD15" s="73" t="s">
        <v>133</v>
      </c>
      <c r="BE15" s="73" t="s">
        <v>151</v>
      </c>
      <c r="BF15" s="73">
        <v>2</v>
      </c>
      <c r="BG15" s="67"/>
      <c r="BH15" s="68"/>
      <c r="BI15" s="68"/>
      <c r="BJ15" s="67"/>
      <c r="BK15" s="67"/>
      <c r="BL15" s="67"/>
      <c r="BM15" s="67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</row>
    <row r="16" spans="1:78">
      <c r="A16" s="20">
        <v>2009</v>
      </c>
      <c r="B16" s="21">
        <v>0.08</v>
      </c>
      <c r="C16" s="21">
        <v>7.6999999999999999E-2</v>
      </c>
      <c r="D16" s="14">
        <v>12</v>
      </c>
      <c r="E16" s="12">
        <v>41286</v>
      </c>
      <c r="F16" s="15">
        <f t="shared" si="0"/>
        <v>2.8750000000000004E-3</v>
      </c>
      <c r="H16" s="14">
        <v>12</v>
      </c>
      <c r="I16" s="12">
        <v>41651</v>
      </c>
      <c r="J16" s="15">
        <f t="shared" si="1"/>
        <v>2.708333333333333E-3</v>
      </c>
      <c r="K16" s="4"/>
      <c r="L16" s="14">
        <v>12</v>
      </c>
      <c r="M16" s="12">
        <v>42016</v>
      </c>
      <c r="N16" s="15">
        <f t="shared" si="8"/>
        <v>2.2916666666666667E-3</v>
      </c>
      <c r="O16" s="31"/>
      <c r="P16" s="14">
        <v>12</v>
      </c>
      <c r="Q16" s="12">
        <v>41651</v>
      </c>
      <c r="R16" s="15">
        <f t="shared" si="2"/>
        <v>2.1250000000000002E-3</v>
      </c>
      <c r="S16" s="4"/>
      <c r="T16" s="14">
        <v>12</v>
      </c>
      <c r="U16" s="12">
        <v>42016</v>
      </c>
      <c r="V16" s="15">
        <f t="shared" si="9"/>
        <v>2.1250000000000002E-3</v>
      </c>
      <c r="W16" s="20">
        <v>2009</v>
      </c>
      <c r="X16" s="21">
        <v>0.11700000000000001</v>
      </c>
      <c r="Y16" s="21">
        <v>9.5000000000000001E-2</v>
      </c>
      <c r="Z16" s="25">
        <f t="shared" ref="Z16:Z17" si="11">X16</f>
        <v>0.11700000000000001</v>
      </c>
      <c r="AA16" s="14">
        <v>12</v>
      </c>
      <c r="AB16" s="12">
        <v>40920</v>
      </c>
      <c r="AC16" s="15">
        <f t="shared" si="6"/>
        <v>3.0416666666666665E-3</v>
      </c>
      <c r="AE16" s="20">
        <v>2011</v>
      </c>
      <c r="AF16" s="46">
        <v>8.7999999999999995E-2</v>
      </c>
      <c r="AG16" s="48">
        <v>8.4000000000000005E-2</v>
      </c>
      <c r="AI16" s="60">
        <v>12</v>
      </c>
      <c r="AJ16" s="58">
        <v>41651</v>
      </c>
      <c r="AK16" s="61">
        <f t="shared" si="7"/>
        <v>4.2500000000000003E-3</v>
      </c>
      <c r="AL16" s="58">
        <v>42016</v>
      </c>
      <c r="AM16" s="61">
        <f t="shared" si="3"/>
        <v>4.2500000000000003E-3</v>
      </c>
      <c r="AO16" s="58">
        <v>41651</v>
      </c>
      <c r="AP16" s="61">
        <f t="shared" si="4"/>
        <v>4.9166666666666664E-3</v>
      </c>
      <c r="AQ16" s="58">
        <v>42016</v>
      </c>
      <c r="AR16" s="61">
        <f t="shared" si="5"/>
        <v>3.9166666666666664E-3</v>
      </c>
      <c r="AT16" s="25">
        <f t="shared" si="10"/>
        <v>1.0840000000000001</v>
      </c>
      <c r="BC16" s="70" t="s">
        <v>142</v>
      </c>
      <c r="BD16" s="73" t="s">
        <v>132</v>
      </c>
      <c r="BE16" s="73" t="s">
        <v>151</v>
      </c>
      <c r="BF16" s="73">
        <v>2</v>
      </c>
      <c r="BG16" s="67"/>
      <c r="BH16" s="68"/>
      <c r="BI16" s="68"/>
      <c r="BJ16" s="67"/>
      <c r="BK16" s="67"/>
      <c r="BL16" s="67"/>
      <c r="BM16" s="67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</row>
    <row r="17" spans="1:78">
      <c r="A17" s="20">
        <v>2010</v>
      </c>
      <c r="B17" s="21">
        <v>0.08</v>
      </c>
      <c r="C17" s="21">
        <v>7.9000000000000001E-2</v>
      </c>
      <c r="D17" s="14">
        <v>13</v>
      </c>
      <c r="E17" s="12">
        <v>41287</v>
      </c>
      <c r="F17" s="15">
        <f t="shared" si="0"/>
        <v>2.8750000000000004E-3</v>
      </c>
      <c r="H17" s="14">
        <v>13</v>
      </c>
      <c r="I17" s="12">
        <v>41652</v>
      </c>
      <c r="J17" s="15">
        <f t="shared" si="1"/>
        <v>2.708333333333333E-3</v>
      </c>
      <c r="K17" s="4"/>
      <c r="L17" s="14">
        <v>13</v>
      </c>
      <c r="M17" s="12">
        <v>42017</v>
      </c>
      <c r="N17" s="15">
        <f t="shared" si="8"/>
        <v>2.2916666666666667E-3</v>
      </c>
      <c r="O17" s="31"/>
      <c r="P17" s="14">
        <v>13</v>
      </c>
      <c r="Q17" s="12">
        <v>41652</v>
      </c>
      <c r="R17" s="15">
        <f t="shared" si="2"/>
        <v>2.1250000000000002E-3</v>
      </c>
      <c r="S17" s="4"/>
      <c r="T17" s="14">
        <v>13</v>
      </c>
      <c r="U17" s="12">
        <v>42017</v>
      </c>
      <c r="V17" s="15">
        <f t="shared" si="9"/>
        <v>2.1250000000000002E-3</v>
      </c>
      <c r="W17" s="20">
        <v>2010</v>
      </c>
      <c r="X17" s="21">
        <v>6.8000000000000005E-2</v>
      </c>
      <c r="Y17" s="21">
        <v>0.107</v>
      </c>
      <c r="Z17" s="25">
        <f t="shared" si="11"/>
        <v>6.8000000000000005E-2</v>
      </c>
      <c r="AA17" s="14">
        <v>13</v>
      </c>
      <c r="AB17" s="12">
        <v>40921</v>
      </c>
      <c r="AC17" s="15">
        <f t="shared" si="6"/>
        <v>3.0416666666666665E-3</v>
      </c>
      <c r="AE17" s="20">
        <v>2012</v>
      </c>
      <c r="AF17" s="46">
        <v>6.8000000000000005E-2</v>
      </c>
      <c r="AG17" s="48">
        <v>5.0999999999999997E-2</v>
      </c>
      <c r="AI17" s="60">
        <v>13</v>
      </c>
      <c r="AJ17" s="58">
        <v>41652</v>
      </c>
      <c r="AK17" s="61">
        <f t="shared" si="7"/>
        <v>4.2500000000000003E-3</v>
      </c>
      <c r="AL17" s="58">
        <v>42017</v>
      </c>
      <c r="AM17" s="61">
        <f t="shared" si="3"/>
        <v>4.2500000000000003E-3</v>
      </c>
      <c r="AO17" s="58">
        <v>41652</v>
      </c>
      <c r="AP17" s="61">
        <f t="shared" si="4"/>
        <v>4.9166666666666664E-3</v>
      </c>
      <c r="AQ17" s="58">
        <v>42017</v>
      </c>
      <c r="AR17" s="61">
        <f t="shared" si="5"/>
        <v>3.9166666666666664E-3</v>
      </c>
      <c r="AT17" s="25">
        <f t="shared" si="10"/>
        <v>1.0509999999999999</v>
      </c>
      <c r="BC17" s="70" t="s">
        <v>137</v>
      </c>
      <c r="BD17" s="73" t="s">
        <v>141</v>
      </c>
      <c r="BE17" s="73" t="s">
        <v>151</v>
      </c>
      <c r="BF17" s="73">
        <v>2</v>
      </c>
      <c r="BG17" s="67"/>
      <c r="BH17" s="68"/>
      <c r="BI17" s="68"/>
      <c r="BJ17" s="67"/>
      <c r="BK17" s="67"/>
      <c r="BL17" s="67"/>
      <c r="BM17" s="67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</row>
    <row r="18" spans="1:78">
      <c r="A18" s="20">
        <v>2011</v>
      </c>
      <c r="B18" s="21">
        <v>7.5999999999999998E-2</v>
      </c>
      <c r="C18" s="21">
        <v>8.7999999999999995E-2</v>
      </c>
      <c r="D18" s="14">
        <v>14</v>
      </c>
      <c r="E18" s="12">
        <v>41288</v>
      </c>
      <c r="F18" s="15">
        <f t="shared" si="0"/>
        <v>2.8750000000000004E-3</v>
      </c>
      <c r="H18" s="14">
        <v>14</v>
      </c>
      <c r="I18" s="12">
        <v>41653</v>
      </c>
      <c r="J18" s="15">
        <f t="shared" si="1"/>
        <v>2.708333333333333E-3</v>
      </c>
      <c r="K18" s="4"/>
      <c r="L18" s="14">
        <v>14</v>
      </c>
      <c r="M18" s="12">
        <v>42018</v>
      </c>
      <c r="N18" s="15">
        <f t="shared" si="8"/>
        <v>2.2916666666666667E-3</v>
      </c>
      <c r="O18" s="31"/>
      <c r="P18" s="14">
        <v>14</v>
      </c>
      <c r="Q18" s="12">
        <v>41653</v>
      </c>
      <c r="R18" s="15">
        <f t="shared" si="2"/>
        <v>2.1250000000000002E-3</v>
      </c>
      <c r="S18" s="4"/>
      <c r="T18" s="14">
        <v>14</v>
      </c>
      <c r="U18" s="12">
        <v>42018</v>
      </c>
      <c r="V18" s="15">
        <f t="shared" si="9"/>
        <v>2.1250000000000002E-3</v>
      </c>
      <c r="W18" s="20">
        <v>2011</v>
      </c>
      <c r="X18" s="33">
        <v>8.5999999999999993E-2</v>
      </c>
      <c r="Y18" s="21">
        <v>8.6999999999999994E-2</v>
      </c>
      <c r="Z18" s="25">
        <v>8.4000000000000005E-2</v>
      </c>
      <c r="AA18" s="14">
        <v>14</v>
      </c>
      <c r="AB18" s="12">
        <v>40922</v>
      </c>
      <c r="AC18" s="15">
        <f t="shared" si="6"/>
        <v>3.0416666666666665E-3</v>
      </c>
      <c r="AE18" s="20">
        <v>2013</v>
      </c>
      <c r="AF18" s="46">
        <v>6.0999999999999999E-2</v>
      </c>
      <c r="AG18" s="48">
        <v>6.7000000000000004E-2</v>
      </c>
      <c r="AI18" s="60">
        <v>14</v>
      </c>
      <c r="AJ18" s="58">
        <v>41653</v>
      </c>
      <c r="AK18" s="61">
        <f t="shared" si="7"/>
        <v>4.2500000000000003E-3</v>
      </c>
      <c r="AL18" s="58">
        <v>42018</v>
      </c>
      <c r="AM18" s="61">
        <f t="shared" si="3"/>
        <v>4.2500000000000003E-3</v>
      </c>
      <c r="AO18" s="58">
        <v>41653</v>
      </c>
      <c r="AP18" s="61">
        <f t="shared" si="4"/>
        <v>4.9166666666666664E-3</v>
      </c>
      <c r="AQ18" s="58">
        <v>42018</v>
      </c>
      <c r="AR18" s="61">
        <f t="shared" si="5"/>
        <v>3.9166666666666664E-3</v>
      </c>
      <c r="AT18" s="25">
        <f t="shared" si="10"/>
        <v>1.0669999999999999</v>
      </c>
      <c r="BC18" s="70" t="s">
        <v>145</v>
      </c>
      <c r="BD18" s="73" t="s">
        <v>209</v>
      </c>
      <c r="BE18" s="73" t="s">
        <v>168</v>
      </c>
      <c r="BF18" s="73">
        <v>1</v>
      </c>
      <c r="BG18" s="67"/>
      <c r="BH18" s="68"/>
      <c r="BI18" s="68"/>
      <c r="BJ18" s="67"/>
      <c r="BK18" s="67"/>
      <c r="BL18" s="67"/>
      <c r="BM18" s="67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</row>
    <row r="19" spans="1:78">
      <c r="A19" s="20">
        <v>2012</v>
      </c>
      <c r="B19" s="21">
        <v>7.2999999999999995E-2</v>
      </c>
      <c r="C19" s="21">
        <v>6.8000000000000005E-2</v>
      </c>
      <c r="D19" s="14">
        <v>15</v>
      </c>
      <c r="E19" s="12">
        <v>41289</v>
      </c>
      <c r="F19" s="15">
        <f t="shared" si="0"/>
        <v>2.8750000000000004E-3</v>
      </c>
      <c r="H19" s="14">
        <v>15</v>
      </c>
      <c r="I19" s="12">
        <v>41654</v>
      </c>
      <c r="J19" s="15">
        <f t="shared" si="1"/>
        <v>2.708333333333333E-3</v>
      </c>
      <c r="K19" s="4"/>
      <c r="L19" s="14">
        <v>15</v>
      </c>
      <c r="M19" s="12">
        <v>42019</v>
      </c>
      <c r="N19" s="15">
        <f t="shared" si="8"/>
        <v>2.2916666666666667E-3</v>
      </c>
      <c r="O19" s="31"/>
      <c r="P19" s="14">
        <v>15</v>
      </c>
      <c r="Q19" s="12">
        <v>41654</v>
      </c>
      <c r="R19" s="15">
        <f t="shared" si="2"/>
        <v>2.1250000000000002E-3</v>
      </c>
      <c r="S19" s="4"/>
      <c r="T19" s="14">
        <v>15</v>
      </c>
      <c r="U19" s="12">
        <v>42019</v>
      </c>
      <c r="V19" s="15">
        <f t="shared" si="9"/>
        <v>2.1250000000000002E-3</v>
      </c>
      <c r="W19" s="20">
        <v>2012</v>
      </c>
      <c r="X19" s="32">
        <v>5.0999999999999997E-2</v>
      </c>
      <c r="Y19" s="21">
        <v>7.4999999999999997E-2</v>
      </c>
      <c r="Z19" s="25">
        <v>5.1999999999999998E-2</v>
      </c>
      <c r="AA19" s="14">
        <v>15</v>
      </c>
      <c r="AB19" s="12">
        <v>40923</v>
      </c>
      <c r="AC19" s="15">
        <f t="shared" si="6"/>
        <v>3.0416666666666665E-3</v>
      </c>
      <c r="AE19" s="20">
        <v>2014</v>
      </c>
      <c r="AF19" s="46">
        <v>5.0999999999999997E-2</v>
      </c>
      <c r="AG19" s="48">
        <v>5.8999999999999997E-2</v>
      </c>
      <c r="AH19" s="86">
        <f>AF19/4*3</f>
        <v>3.8249999999999999E-2</v>
      </c>
      <c r="AI19" s="60">
        <v>15</v>
      </c>
      <c r="AJ19" s="58">
        <v>41654</v>
      </c>
      <c r="AK19" s="61">
        <f t="shared" si="7"/>
        <v>4.2500000000000003E-3</v>
      </c>
      <c r="AL19" s="58">
        <v>42019</v>
      </c>
      <c r="AM19" s="61">
        <f t="shared" si="3"/>
        <v>4.2500000000000003E-3</v>
      </c>
      <c r="AO19" s="58">
        <v>41654</v>
      </c>
      <c r="AP19" s="61">
        <f t="shared" si="4"/>
        <v>4.9166666666666664E-3</v>
      </c>
      <c r="AQ19" s="58">
        <v>42019</v>
      </c>
      <c r="AR19" s="61">
        <f t="shared" si="5"/>
        <v>3.9166666666666664E-3</v>
      </c>
      <c r="AT19" s="25">
        <f>AG19/2+1</f>
        <v>1.0295000000000001</v>
      </c>
      <c r="BC19" s="70" t="s">
        <v>211</v>
      </c>
      <c r="BD19" s="73" t="s">
        <v>135</v>
      </c>
      <c r="BE19" s="73" t="s">
        <v>151</v>
      </c>
      <c r="BF19" s="73">
        <v>2</v>
      </c>
      <c r="BG19" s="67"/>
      <c r="BH19" s="68"/>
      <c r="BI19" s="68"/>
      <c r="BJ19" s="67"/>
      <c r="BK19" s="67"/>
      <c r="BL19" s="67"/>
      <c r="BM19" s="67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</row>
    <row r="20" spans="1:78">
      <c r="A20" s="20">
        <v>2013</v>
      </c>
      <c r="B20" s="21">
        <v>6.9000000000000006E-2</v>
      </c>
      <c r="C20" s="33">
        <v>6.0999999999999999E-2</v>
      </c>
      <c r="D20" s="14">
        <v>16</v>
      </c>
      <c r="E20" s="12">
        <v>41290</v>
      </c>
      <c r="F20" s="15">
        <f t="shared" si="0"/>
        <v>2.8750000000000004E-3</v>
      </c>
      <c r="H20" s="14">
        <v>16</v>
      </c>
      <c r="I20" s="12">
        <v>41655</v>
      </c>
      <c r="J20" s="15">
        <f t="shared" si="1"/>
        <v>2.708333333333333E-3</v>
      </c>
      <c r="K20" s="4"/>
      <c r="L20" s="14">
        <v>16</v>
      </c>
      <c r="M20" s="12">
        <v>42020</v>
      </c>
      <c r="N20" s="15">
        <f t="shared" si="8"/>
        <v>2.2916666666666667E-3</v>
      </c>
      <c r="O20" s="31"/>
      <c r="P20" s="14">
        <v>16</v>
      </c>
      <c r="Q20" s="12">
        <v>41655</v>
      </c>
      <c r="R20" s="15">
        <f t="shared" si="2"/>
        <v>2.1250000000000002E-3</v>
      </c>
      <c r="S20" s="4"/>
      <c r="T20" s="14">
        <v>16</v>
      </c>
      <c r="U20" s="12">
        <v>42020</v>
      </c>
      <c r="V20" s="15">
        <f t="shared" si="9"/>
        <v>2.1250000000000002E-3</v>
      </c>
      <c r="W20" s="20">
        <v>2013</v>
      </c>
      <c r="X20" s="32">
        <v>5.8999999999999997E-2</v>
      </c>
      <c r="Y20" s="21"/>
      <c r="Z20" s="25">
        <v>7.0999999999999994E-2</v>
      </c>
      <c r="AA20" s="14">
        <v>16</v>
      </c>
      <c r="AB20" s="12">
        <v>40924</v>
      </c>
      <c r="AC20" s="15">
        <f t="shared" si="6"/>
        <v>3.0416666666666665E-3</v>
      </c>
      <c r="AE20" s="22">
        <v>2015</v>
      </c>
      <c r="AF20" s="49">
        <v>5.0999999999999997E-2</v>
      </c>
      <c r="AG20" s="50">
        <v>4.7E-2</v>
      </c>
      <c r="AH20" s="87">
        <f>(1+3.825%)*(1+2.55%)-1</f>
        <v>6.4725374999999863E-2</v>
      </c>
      <c r="AI20" s="60">
        <v>16</v>
      </c>
      <c r="AJ20" s="58">
        <v>41655</v>
      </c>
      <c r="AK20" s="61">
        <f t="shared" si="7"/>
        <v>4.2500000000000003E-3</v>
      </c>
      <c r="AL20" s="58">
        <v>42020</v>
      </c>
      <c r="AM20" s="61">
        <f t="shared" si="3"/>
        <v>4.2500000000000003E-3</v>
      </c>
      <c r="AO20" s="58">
        <v>41655</v>
      </c>
      <c r="AP20" s="61">
        <f t="shared" si="4"/>
        <v>4.9166666666666664E-3</v>
      </c>
      <c r="AQ20" s="58">
        <v>42020</v>
      </c>
      <c r="AR20" s="61">
        <f t="shared" si="5"/>
        <v>3.9166666666666664E-3</v>
      </c>
      <c r="BC20" s="70" t="s">
        <v>212</v>
      </c>
      <c r="BD20" s="73" t="s">
        <v>200</v>
      </c>
      <c r="BE20" s="73" t="s">
        <v>151</v>
      </c>
      <c r="BF20" s="73">
        <v>2</v>
      </c>
      <c r="BG20" s="67"/>
      <c r="BH20" s="68"/>
      <c r="BI20" s="68"/>
      <c r="BJ20" s="67"/>
      <c r="BK20" s="67"/>
      <c r="BL20" s="67"/>
      <c r="BM20" s="67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</row>
    <row r="21" spans="1:78">
      <c r="A21" s="20">
        <v>2014</v>
      </c>
      <c r="B21" s="21">
        <v>6.5000000000000002E-2</v>
      </c>
      <c r="C21" s="32">
        <v>5.0999999999999997E-2</v>
      </c>
      <c r="D21" s="14">
        <v>17</v>
      </c>
      <c r="E21" s="12">
        <v>41291</v>
      </c>
      <c r="F21" s="15">
        <f t="shared" si="0"/>
        <v>2.8750000000000004E-3</v>
      </c>
      <c r="H21" s="14">
        <v>17</v>
      </c>
      <c r="I21" s="12">
        <v>41656</v>
      </c>
      <c r="J21" s="15">
        <f t="shared" si="1"/>
        <v>2.708333333333333E-3</v>
      </c>
      <c r="K21" s="4"/>
      <c r="L21" s="14">
        <v>17</v>
      </c>
      <c r="M21" s="12">
        <v>42021</v>
      </c>
      <c r="N21" s="15">
        <f t="shared" si="8"/>
        <v>2.2916666666666667E-3</v>
      </c>
      <c r="O21" s="31"/>
      <c r="P21" s="14">
        <v>17</v>
      </c>
      <c r="Q21" s="12">
        <v>41656</v>
      </c>
      <c r="R21" s="15">
        <f t="shared" si="2"/>
        <v>2.1250000000000002E-3</v>
      </c>
      <c r="S21" s="4"/>
      <c r="T21" s="14">
        <v>17</v>
      </c>
      <c r="U21" s="12">
        <v>42021</v>
      </c>
      <c r="V21" s="15">
        <f t="shared" si="9"/>
        <v>2.1250000000000002E-3</v>
      </c>
      <c r="W21" s="20">
        <v>2014</v>
      </c>
      <c r="X21" s="32">
        <v>5.1999999999999998E-2</v>
      </c>
      <c r="Y21" s="21"/>
      <c r="Z21" s="25">
        <v>5.3999999999999999E-2</v>
      </c>
      <c r="AA21" s="14">
        <v>17</v>
      </c>
      <c r="AB21" s="12">
        <v>40925</v>
      </c>
      <c r="AC21" s="15">
        <f t="shared" si="6"/>
        <v>3.0416666666666665E-3</v>
      </c>
      <c r="AI21" s="60">
        <v>17</v>
      </c>
      <c r="AJ21" s="58">
        <v>41656</v>
      </c>
      <c r="AK21" s="61">
        <f t="shared" si="7"/>
        <v>4.2500000000000003E-3</v>
      </c>
      <c r="AL21" s="58">
        <v>42021</v>
      </c>
      <c r="AM21" s="61">
        <f t="shared" si="3"/>
        <v>4.2500000000000003E-3</v>
      </c>
      <c r="AO21" s="58">
        <v>41656</v>
      </c>
      <c r="AP21" s="61">
        <f t="shared" si="4"/>
        <v>4.9166666666666664E-3</v>
      </c>
      <c r="AQ21" s="58">
        <v>42021</v>
      </c>
      <c r="AR21" s="61">
        <f t="shared" si="5"/>
        <v>3.9166666666666664E-3</v>
      </c>
      <c r="AT21" s="25">
        <f>AT10*AT11*AT12*AT13*AT14*AT15*AT16*AT17*AT18*AT19</f>
        <v>2.2787439515778916</v>
      </c>
      <c r="AV21" s="76"/>
      <c r="AW21" s="25"/>
      <c r="BC21" s="70" t="s">
        <v>223</v>
      </c>
      <c r="BD21" s="73" t="s">
        <v>138</v>
      </c>
      <c r="BE21" s="73" t="s">
        <v>151</v>
      </c>
      <c r="BF21" s="73">
        <v>2</v>
      </c>
      <c r="BG21" s="67"/>
      <c r="BH21" s="68"/>
      <c r="BI21" s="68"/>
      <c r="BJ21" s="67"/>
      <c r="BK21" s="67"/>
      <c r="BL21" s="67"/>
      <c r="BM21" s="67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</row>
    <row r="22" spans="1:78">
      <c r="A22" s="22">
        <v>2015</v>
      </c>
      <c r="B22" s="24">
        <v>5.5E-2</v>
      </c>
      <c r="C22" s="32">
        <v>5.0999999999999997E-2</v>
      </c>
      <c r="D22" s="14">
        <v>18</v>
      </c>
      <c r="E22" s="12">
        <v>41292</v>
      </c>
      <c r="F22" s="15">
        <f t="shared" si="0"/>
        <v>2.8750000000000004E-3</v>
      </c>
      <c r="H22" s="14">
        <v>18</v>
      </c>
      <c r="I22" s="12">
        <v>41657</v>
      </c>
      <c r="J22" s="15">
        <f t="shared" si="1"/>
        <v>2.708333333333333E-3</v>
      </c>
      <c r="K22" s="4"/>
      <c r="L22" s="14">
        <v>18</v>
      </c>
      <c r="M22" s="12">
        <v>42022</v>
      </c>
      <c r="N22" s="15">
        <f t="shared" si="8"/>
        <v>2.2916666666666667E-3</v>
      </c>
      <c r="O22" s="31"/>
      <c r="P22" s="14">
        <v>18</v>
      </c>
      <c r="Q22" s="12">
        <v>41657</v>
      </c>
      <c r="R22" s="15">
        <f t="shared" si="2"/>
        <v>2.1250000000000002E-3</v>
      </c>
      <c r="S22" s="4"/>
      <c r="T22" s="14">
        <v>18</v>
      </c>
      <c r="U22" s="12">
        <v>42022</v>
      </c>
      <c r="V22" s="15">
        <f t="shared" si="9"/>
        <v>2.1250000000000002E-3</v>
      </c>
      <c r="W22" s="22">
        <v>2015</v>
      </c>
      <c r="X22" s="24"/>
      <c r="Y22" s="24"/>
      <c r="Z22" s="25">
        <v>4.9000000000000002E-2</v>
      </c>
      <c r="AA22" s="14">
        <v>18</v>
      </c>
      <c r="AB22" s="12">
        <v>40926</v>
      </c>
      <c r="AC22" s="15">
        <f t="shared" si="6"/>
        <v>3.0416666666666665E-3</v>
      </c>
      <c r="AI22" s="60">
        <v>18</v>
      </c>
      <c r="AJ22" s="58">
        <v>41657</v>
      </c>
      <c r="AK22" s="61">
        <f t="shared" si="7"/>
        <v>4.2500000000000003E-3</v>
      </c>
      <c r="AL22" s="58">
        <v>42022</v>
      </c>
      <c r="AM22" s="61">
        <f t="shared" si="3"/>
        <v>4.2500000000000003E-3</v>
      </c>
      <c r="AO22" s="58">
        <v>41657</v>
      </c>
      <c r="AP22" s="61">
        <f t="shared" si="4"/>
        <v>4.9166666666666664E-3</v>
      </c>
      <c r="AQ22" s="58">
        <v>42022</v>
      </c>
      <c r="AR22" s="61">
        <f t="shared" si="5"/>
        <v>3.9166666666666664E-3</v>
      </c>
      <c r="AV22" s="75"/>
      <c r="AW22" s="77"/>
      <c r="BC22" s="70" t="s">
        <v>224</v>
      </c>
      <c r="BD22" s="73" t="s">
        <v>201</v>
      </c>
      <c r="BE22" s="73" t="s">
        <v>151</v>
      </c>
      <c r="BF22" s="73">
        <v>2</v>
      </c>
      <c r="BG22" s="67"/>
      <c r="BH22" s="68"/>
      <c r="BI22" s="68"/>
      <c r="BJ22" s="67"/>
      <c r="BK22" s="67"/>
      <c r="BL22" s="67"/>
      <c r="BM22" s="67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</row>
    <row r="23" spans="1:78">
      <c r="B23" s="25"/>
      <c r="D23" s="14">
        <v>19</v>
      </c>
      <c r="E23" s="12">
        <v>41293</v>
      </c>
      <c r="F23" s="15">
        <f t="shared" si="0"/>
        <v>2.8750000000000004E-3</v>
      </c>
      <c r="H23" s="14">
        <v>19</v>
      </c>
      <c r="I23" s="12">
        <v>41658</v>
      </c>
      <c r="J23" s="15">
        <f t="shared" si="1"/>
        <v>2.708333333333333E-3</v>
      </c>
      <c r="K23" s="4"/>
      <c r="L23" s="14">
        <v>19</v>
      </c>
      <c r="M23" s="12">
        <v>42023</v>
      </c>
      <c r="N23" s="15">
        <f t="shared" si="8"/>
        <v>2.2916666666666667E-3</v>
      </c>
      <c r="O23" s="31"/>
      <c r="P23" s="14">
        <v>19</v>
      </c>
      <c r="Q23" s="12">
        <v>41658</v>
      </c>
      <c r="R23" s="15">
        <f t="shared" si="2"/>
        <v>2.1250000000000002E-3</v>
      </c>
      <c r="S23" s="4"/>
      <c r="T23" s="14">
        <v>19</v>
      </c>
      <c r="U23" s="12">
        <v>42023</v>
      </c>
      <c r="V23" s="15">
        <f t="shared" si="9"/>
        <v>2.1250000000000002E-3</v>
      </c>
      <c r="AA23" s="14">
        <v>19</v>
      </c>
      <c r="AB23" s="12">
        <v>40927</v>
      </c>
      <c r="AC23" s="15">
        <f t="shared" si="6"/>
        <v>3.0416666666666665E-3</v>
      </c>
      <c r="AF23" s="41">
        <f>AF17/4*2+1</f>
        <v>1.034</v>
      </c>
      <c r="AI23" s="60">
        <v>19</v>
      </c>
      <c r="AJ23" s="58">
        <v>41658</v>
      </c>
      <c r="AK23" s="61">
        <f t="shared" si="7"/>
        <v>4.2500000000000003E-3</v>
      </c>
      <c r="AL23" s="58">
        <v>42023</v>
      </c>
      <c r="AM23" s="61">
        <f t="shared" si="3"/>
        <v>4.2500000000000003E-3</v>
      </c>
      <c r="AO23" s="58">
        <v>41658</v>
      </c>
      <c r="AP23" s="61">
        <f t="shared" si="4"/>
        <v>4.9166666666666664E-3</v>
      </c>
      <c r="AQ23" s="58">
        <v>42023</v>
      </c>
      <c r="AR23" s="61">
        <f t="shared" si="5"/>
        <v>3.9166666666666664E-3</v>
      </c>
      <c r="AV23" s="25"/>
      <c r="AW23" s="25"/>
      <c r="BC23" s="70"/>
      <c r="BD23" s="69"/>
      <c r="BE23" s="85" t="s">
        <v>226</v>
      </c>
      <c r="BF23" s="74"/>
      <c r="BG23" s="68"/>
      <c r="BH23" s="68"/>
      <c r="BI23" s="68" t="s">
        <v>225</v>
      </c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</row>
    <row r="24" spans="1:78">
      <c r="A24" s="20">
        <v>2012</v>
      </c>
      <c r="B24" s="25"/>
      <c r="C24" s="25">
        <v>1</v>
      </c>
      <c r="D24" s="14">
        <v>20</v>
      </c>
      <c r="E24" s="12">
        <v>41294</v>
      </c>
      <c r="F24" s="29">
        <f t="shared" si="0"/>
        <v>2.8750000000000004E-3</v>
      </c>
      <c r="H24" s="14">
        <v>20</v>
      </c>
      <c r="I24" s="12">
        <v>41659</v>
      </c>
      <c r="J24" s="29">
        <f t="shared" si="1"/>
        <v>2.708333333333333E-3</v>
      </c>
      <c r="K24" s="4"/>
      <c r="L24" s="14">
        <v>20</v>
      </c>
      <c r="M24" s="12">
        <v>42024</v>
      </c>
      <c r="N24" s="29">
        <f t="shared" si="8"/>
        <v>2.2916666666666667E-3</v>
      </c>
      <c r="O24" s="31"/>
      <c r="P24" s="14">
        <v>20</v>
      </c>
      <c r="Q24" s="12">
        <v>41659</v>
      </c>
      <c r="R24" s="29">
        <f t="shared" si="2"/>
        <v>2.1250000000000002E-3</v>
      </c>
      <c r="S24" s="4"/>
      <c r="T24" s="14">
        <v>20</v>
      </c>
      <c r="U24" s="12">
        <v>42024</v>
      </c>
      <c r="V24" s="29">
        <f t="shared" si="9"/>
        <v>2.1250000000000002E-3</v>
      </c>
      <c r="W24" s="20">
        <v>2008</v>
      </c>
      <c r="X24" s="25">
        <f>1+X15</f>
        <v>1.141</v>
      </c>
      <c r="Y24" s="25">
        <f>1+Y15</f>
        <v>1.079</v>
      </c>
      <c r="Z24" s="25">
        <f>1+Z15</f>
        <v>1.141</v>
      </c>
      <c r="AA24" s="30">
        <v>20</v>
      </c>
      <c r="AB24" s="28">
        <v>40928</v>
      </c>
      <c r="AC24" s="29">
        <f t="shared" si="6"/>
        <v>3.0416666666666665E-3</v>
      </c>
      <c r="AF24" s="66">
        <f>AF18+1</f>
        <v>1.0609999999999999</v>
      </c>
      <c r="AI24" s="60">
        <v>20</v>
      </c>
      <c r="AJ24" s="58">
        <v>41659</v>
      </c>
      <c r="AK24" s="61">
        <f t="shared" si="7"/>
        <v>4.2500000000000003E-3</v>
      </c>
      <c r="AL24" s="58">
        <v>42024</v>
      </c>
      <c r="AM24" s="61">
        <f t="shared" si="3"/>
        <v>4.2500000000000003E-3</v>
      </c>
      <c r="AO24" s="58">
        <v>41659</v>
      </c>
      <c r="AP24" s="61">
        <f t="shared" si="4"/>
        <v>4.9166666666666664E-3</v>
      </c>
      <c r="AQ24" s="58">
        <v>42024</v>
      </c>
      <c r="AR24" s="61">
        <f t="shared" si="5"/>
        <v>3.9166666666666664E-3</v>
      </c>
      <c r="AW24" s="25"/>
      <c r="BC24" s="70"/>
      <c r="BD24" s="71"/>
      <c r="BE24" s="71" t="s">
        <v>210</v>
      </c>
      <c r="BF24" s="71" t="s">
        <v>128</v>
      </c>
      <c r="BG24" s="68"/>
      <c r="BH24" s="68"/>
      <c r="BI24" s="68" t="s">
        <v>210</v>
      </c>
      <c r="BJ24" s="68" t="s">
        <v>128</v>
      </c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</row>
    <row r="25" spans="1:78">
      <c r="A25" s="20">
        <v>2013</v>
      </c>
      <c r="B25" s="25"/>
      <c r="C25" s="25">
        <f>C20/12*5+1</f>
        <v>1.0254166666666666</v>
      </c>
      <c r="D25" s="14">
        <v>21</v>
      </c>
      <c r="E25" s="12">
        <v>41295</v>
      </c>
      <c r="F25" s="15">
        <f t="shared" ref="F25:F35" si="12">F$4/D$4/100</f>
        <v>5.7500000000000008E-3</v>
      </c>
      <c r="H25" s="14">
        <v>21</v>
      </c>
      <c r="I25" s="12">
        <v>41660</v>
      </c>
      <c r="J25" s="15">
        <f t="shared" ref="J25:J35" si="13">J$4/H$4/100</f>
        <v>5.416666666666666E-3</v>
      </c>
      <c r="K25" s="4"/>
      <c r="L25" s="14">
        <v>21</v>
      </c>
      <c r="M25" s="12">
        <v>42025</v>
      </c>
      <c r="N25" s="15">
        <f>N$4/L$4/100</f>
        <v>4.5833333333333334E-3</v>
      </c>
      <c r="O25" s="31"/>
      <c r="P25" s="14">
        <v>21</v>
      </c>
      <c r="Q25" s="12">
        <v>41660</v>
      </c>
      <c r="R25" s="15">
        <f t="shared" ref="R25:R35" si="14">R$4/P$4/100</f>
        <v>4.2500000000000003E-3</v>
      </c>
      <c r="S25" s="4"/>
      <c r="T25" s="14">
        <v>21</v>
      </c>
      <c r="U25" s="12">
        <v>42025</v>
      </c>
      <c r="V25" s="15">
        <f>V$4/T$4/100</f>
        <v>4.2500000000000003E-3</v>
      </c>
      <c r="W25" s="20">
        <v>2009</v>
      </c>
      <c r="X25" s="25">
        <f>1+X16</f>
        <v>1.117</v>
      </c>
      <c r="Y25" s="25">
        <f t="shared" ref="X25:Y29" si="15">1+Y16</f>
        <v>1.095</v>
      </c>
      <c r="Z25" s="25">
        <f>1+Z16</f>
        <v>1.117</v>
      </c>
      <c r="AA25" s="14">
        <v>21</v>
      </c>
      <c r="AB25" s="12">
        <v>40929</v>
      </c>
      <c r="AC25" s="15">
        <f>AC$4/AA$4/100</f>
        <v>6.083333333333333E-3</v>
      </c>
      <c r="AF25" s="66">
        <f>AF19+1</f>
        <v>1.0509999999999999</v>
      </c>
      <c r="AI25" s="60">
        <v>21</v>
      </c>
      <c r="AJ25" s="58">
        <v>41660</v>
      </c>
      <c r="AK25" s="61">
        <f t="shared" si="7"/>
        <v>4.2500000000000003E-3</v>
      </c>
      <c r="AL25" s="58">
        <v>42025</v>
      </c>
      <c r="AM25" s="61">
        <f t="shared" si="3"/>
        <v>4.2500000000000003E-3</v>
      </c>
      <c r="AO25" s="58">
        <v>41660</v>
      </c>
      <c r="AP25" s="61">
        <f t="shared" si="4"/>
        <v>4.9166666666666664E-3</v>
      </c>
      <c r="AQ25" s="58">
        <v>42025</v>
      </c>
      <c r="AR25" s="61">
        <f t="shared" si="5"/>
        <v>3.9166666666666664E-3</v>
      </c>
      <c r="BC25" s="70"/>
      <c r="BD25" s="82" t="s">
        <v>214</v>
      </c>
      <c r="BE25" s="92">
        <f>$AF$18</f>
        <v>6.0999999999999999E-2</v>
      </c>
      <c r="BF25" s="92">
        <f>$AG$18</f>
        <v>6.7000000000000004E-2</v>
      </c>
      <c r="BI25" s="79">
        <f>$AF$19</f>
        <v>5.0999999999999997E-2</v>
      </c>
      <c r="BJ25" s="79">
        <f>$AG$19</f>
        <v>5.8999999999999997E-2</v>
      </c>
    </row>
    <row r="26" spans="1:78">
      <c r="A26" s="20">
        <v>2014</v>
      </c>
      <c r="B26" s="25"/>
      <c r="C26" s="25">
        <f>C21+1</f>
        <v>1.0509999999999999</v>
      </c>
      <c r="D26" s="14">
        <v>22</v>
      </c>
      <c r="E26" s="12">
        <v>41296</v>
      </c>
      <c r="F26" s="15">
        <f t="shared" si="12"/>
        <v>5.7500000000000008E-3</v>
      </c>
      <c r="H26" s="14">
        <v>22</v>
      </c>
      <c r="I26" s="12">
        <v>41661</v>
      </c>
      <c r="J26" s="15">
        <f t="shared" si="13"/>
        <v>5.416666666666666E-3</v>
      </c>
      <c r="K26" s="4"/>
      <c r="L26" s="14">
        <v>22</v>
      </c>
      <c r="M26" s="12">
        <v>42026</v>
      </c>
      <c r="N26" s="15">
        <f t="shared" ref="N26:N35" si="16">N$4/L$4/100</f>
        <v>4.5833333333333334E-3</v>
      </c>
      <c r="O26" s="25">
        <f>R186+1</f>
        <v>1.027625</v>
      </c>
      <c r="P26" s="14">
        <v>22</v>
      </c>
      <c r="Q26" s="12">
        <v>41661</v>
      </c>
      <c r="R26" s="15">
        <f t="shared" si="14"/>
        <v>4.2500000000000003E-3</v>
      </c>
      <c r="S26" s="4"/>
      <c r="T26" s="14">
        <v>22</v>
      </c>
      <c r="U26" s="12">
        <v>42026</v>
      </c>
      <c r="V26" s="15">
        <f t="shared" ref="V26:V35" si="17">V$4/T$4/100</f>
        <v>4.2500000000000003E-3</v>
      </c>
      <c r="W26" s="20">
        <v>2010</v>
      </c>
      <c r="X26" s="25">
        <f>1+X17</f>
        <v>1.0680000000000001</v>
      </c>
      <c r="Y26" s="25">
        <f t="shared" si="15"/>
        <v>1.107</v>
      </c>
      <c r="Z26" s="25">
        <f>1+Z17</f>
        <v>1.0680000000000001</v>
      </c>
      <c r="AA26" s="14">
        <v>22</v>
      </c>
      <c r="AB26" s="12">
        <v>40930</v>
      </c>
      <c r="AC26" s="15">
        <f t="shared" ref="AC26:AC35" si="18">AC$4/AA$4/100</f>
        <v>6.083333333333333E-3</v>
      </c>
      <c r="AI26" s="60">
        <v>22</v>
      </c>
      <c r="AJ26" s="58">
        <v>41661</v>
      </c>
      <c r="AK26" s="61">
        <f t="shared" si="7"/>
        <v>4.2500000000000003E-3</v>
      </c>
      <c r="AL26" s="58">
        <v>42026</v>
      </c>
      <c r="AM26" s="61">
        <f t="shared" si="3"/>
        <v>4.2500000000000003E-3</v>
      </c>
      <c r="AO26" s="58">
        <v>41661</v>
      </c>
      <c r="AP26" s="61">
        <f t="shared" si="4"/>
        <v>4.9166666666666664E-3</v>
      </c>
      <c r="AQ26" s="58">
        <v>42026</v>
      </c>
      <c r="AR26" s="61">
        <f t="shared" si="5"/>
        <v>3.9166666666666664E-3</v>
      </c>
      <c r="BD26" s="82" t="s">
        <v>215</v>
      </c>
      <c r="BE26" s="92">
        <f>$AF$18/12*11</f>
        <v>5.5916666666666663E-2</v>
      </c>
      <c r="BF26" s="92">
        <f>$AG$18/12*11</f>
        <v>6.1416666666666668E-2</v>
      </c>
      <c r="BI26" s="79">
        <f t="shared" ref="BI26:BI48" si="19">$AF$19</f>
        <v>5.0999999999999997E-2</v>
      </c>
      <c r="BJ26" s="79">
        <f t="shared" ref="BJ26:BJ48" si="20">$AG$19</f>
        <v>5.8999999999999997E-2</v>
      </c>
    </row>
    <row r="27" spans="1:78">
      <c r="A27" s="20">
        <v>2015</v>
      </c>
      <c r="B27" s="25"/>
      <c r="C27" s="25">
        <f>V186+1</f>
        <v>1.027625</v>
      </c>
      <c r="D27" s="14">
        <v>23</v>
      </c>
      <c r="E27" s="12">
        <v>41297</v>
      </c>
      <c r="F27" s="15">
        <f t="shared" si="12"/>
        <v>5.7500000000000008E-3</v>
      </c>
      <c r="H27" s="14">
        <v>23</v>
      </c>
      <c r="I27" s="12">
        <v>41662</v>
      </c>
      <c r="J27" s="15">
        <f t="shared" si="13"/>
        <v>5.416666666666666E-3</v>
      </c>
      <c r="K27" s="4"/>
      <c r="L27" s="14">
        <v>23</v>
      </c>
      <c r="M27" s="12">
        <v>42027</v>
      </c>
      <c r="N27" s="15">
        <f t="shared" si="16"/>
        <v>4.5833333333333334E-3</v>
      </c>
      <c r="O27" s="31"/>
      <c r="P27" s="14">
        <v>23</v>
      </c>
      <c r="Q27" s="12">
        <v>41662</v>
      </c>
      <c r="R27" s="15">
        <f t="shared" si="14"/>
        <v>4.2500000000000003E-3</v>
      </c>
      <c r="S27" s="4"/>
      <c r="T27" s="14">
        <v>23</v>
      </c>
      <c r="U27" s="12">
        <v>42027</v>
      </c>
      <c r="V27" s="15">
        <f t="shared" si="17"/>
        <v>4.2500000000000003E-3</v>
      </c>
      <c r="W27" s="20">
        <v>2011</v>
      </c>
      <c r="X27" s="25">
        <f>1+X18</f>
        <v>1.0860000000000001</v>
      </c>
      <c r="Y27" s="25">
        <f t="shared" si="15"/>
        <v>1.087</v>
      </c>
      <c r="Z27" s="25">
        <f>1+Z18</f>
        <v>1.0840000000000001</v>
      </c>
      <c r="AA27" s="14">
        <v>23</v>
      </c>
      <c r="AB27" s="12">
        <v>40931</v>
      </c>
      <c r="AC27" s="15">
        <f t="shared" si="18"/>
        <v>6.083333333333333E-3</v>
      </c>
      <c r="AF27" s="66">
        <f>1+AK27</f>
        <v>1.0042500000000001</v>
      </c>
      <c r="AI27" s="60">
        <v>23</v>
      </c>
      <c r="AJ27" s="58">
        <v>41662</v>
      </c>
      <c r="AK27" s="61">
        <f t="shared" si="7"/>
        <v>4.2500000000000003E-3</v>
      </c>
      <c r="AL27" s="58">
        <v>42027</v>
      </c>
      <c r="AM27" s="61">
        <f t="shared" si="3"/>
        <v>4.2500000000000003E-3</v>
      </c>
      <c r="AO27" s="58">
        <v>41662</v>
      </c>
      <c r="AP27" s="61">
        <f t="shared" si="4"/>
        <v>4.9166666666666664E-3</v>
      </c>
      <c r="AQ27" s="58">
        <v>42027</v>
      </c>
      <c r="AR27" s="61">
        <f t="shared" si="5"/>
        <v>3.9166666666666664E-3</v>
      </c>
      <c r="BD27" s="82" t="s">
        <v>216</v>
      </c>
      <c r="BE27" s="92">
        <f>$AF$18/12*10</f>
        <v>5.0833333333333328E-2</v>
      </c>
      <c r="BF27" s="92">
        <f>$AG$18/12*10</f>
        <v>5.5833333333333332E-2</v>
      </c>
      <c r="BI27" s="79">
        <f t="shared" si="19"/>
        <v>5.0999999999999997E-2</v>
      </c>
      <c r="BJ27" s="79">
        <f t="shared" si="20"/>
        <v>5.8999999999999997E-2</v>
      </c>
    </row>
    <row r="28" spans="1:78">
      <c r="A28" s="20"/>
      <c r="B28" s="25"/>
      <c r="C28" s="25">
        <f>C24*C25*C26*C27</f>
        <v>1.1074847359895832</v>
      </c>
      <c r="D28" s="14">
        <v>24</v>
      </c>
      <c r="E28" s="12">
        <v>41298</v>
      </c>
      <c r="F28" s="15">
        <f t="shared" si="12"/>
        <v>5.7500000000000008E-3</v>
      </c>
      <c r="H28" s="14">
        <v>24</v>
      </c>
      <c r="I28" s="12">
        <v>41663</v>
      </c>
      <c r="J28" s="15">
        <f t="shared" si="13"/>
        <v>5.416666666666666E-3</v>
      </c>
      <c r="K28" s="4"/>
      <c r="L28" s="14">
        <v>24</v>
      </c>
      <c r="M28" s="12">
        <v>42028</v>
      </c>
      <c r="N28" s="15">
        <f t="shared" si="16"/>
        <v>4.5833333333333334E-3</v>
      </c>
      <c r="O28" s="25">
        <f>C25*O26*C24</f>
        <v>1.0537438020833334</v>
      </c>
      <c r="P28" s="14">
        <v>24</v>
      </c>
      <c r="Q28" s="12">
        <v>41663</v>
      </c>
      <c r="R28" s="15">
        <f t="shared" si="14"/>
        <v>4.2500000000000003E-3</v>
      </c>
      <c r="S28" s="4"/>
      <c r="T28" s="14">
        <v>24</v>
      </c>
      <c r="U28" s="12">
        <v>42028</v>
      </c>
      <c r="V28" s="15">
        <f t="shared" si="17"/>
        <v>4.2500000000000003E-3</v>
      </c>
      <c r="W28" s="20">
        <v>2012</v>
      </c>
      <c r="X28" s="25">
        <f t="shared" si="15"/>
        <v>1.0509999999999999</v>
      </c>
      <c r="Y28" s="25">
        <f t="shared" si="15"/>
        <v>1.075</v>
      </c>
      <c r="Z28" s="25">
        <f t="shared" ref="Z28" si="21">1+Z19</f>
        <v>1.052</v>
      </c>
      <c r="AA28" s="14">
        <v>24</v>
      </c>
      <c r="AB28" s="12">
        <v>40932</v>
      </c>
      <c r="AC28" s="15">
        <f t="shared" si="18"/>
        <v>6.083333333333333E-3</v>
      </c>
      <c r="AF28" s="66">
        <f>1+AM28</f>
        <v>1.0042500000000001</v>
      </c>
      <c r="AI28" s="60">
        <v>24</v>
      </c>
      <c r="AJ28" s="58">
        <v>41663</v>
      </c>
      <c r="AK28" s="61">
        <f t="shared" si="7"/>
        <v>4.2500000000000003E-3</v>
      </c>
      <c r="AL28" s="58">
        <v>42028</v>
      </c>
      <c r="AM28" s="61">
        <f t="shared" si="3"/>
        <v>4.2500000000000003E-3</v>
      </c>
      <c r="AO28" s="58">
        <v>41663</v>
      </c>
      <c r="AP28" s="61">
        <f t="shared" si="4"/>
        <v>4.9166666666666664E-3</v>
      </c>
      <c r="AQ28" s="58">
        <v>42028</v>
      </c>
      <c r="AR28" s="61">
        <f t="shared" si="5"/>
        <v>3.9166666666666664E-3</v>
      </c>
      <c r="BD28" s="82" t="s">
        <v>217</v>
      </c>
      <c r="BE28" s="92">
        <f>$AF$18/12*9</f>
        <v>4.5749999999999999E-2</v>
      </c>
      <c r="BF28" s="92">
        <f>$AG$18/12*9</f>
        <v>5.0250000000000003E-2</v>
      </c>
      <c r="BI28" s="79">
        <f t="shared" si="19"/>
        <v>5.0999999999999997E-2</v>
      </c>
      <c r="BJ28" s="79">
        <f t="shared" si="20"/>
        <v>5.8999999999999997E-2</v>
      </c>
    </row>
    <row r="29" spans="1:78">
      <c r="A29" s="20"/>
      <c r="B29" s="25"/>
      <c r="C29" s="25"/>
      <c r="D29" s="14">
        <v>25</v>
      </c>
      <c r="E29" s="12">
        <v>41299</v>
      </c>
      <c r="F29" s="15">
        <f t="shared" si="12"/>
        <v>5.7500000000000008E-3</v>
      </c>
      <c r="H29" s="14">
        <v>25</v>
      </c>
      <c r="I29" s="12">
        <v>41664</v>
      </c>
      <c r="J29" s="15">
        <f t="shared" si="13"/>
        <v>5.416666666666666E-3</v>
      </c>
      <c r="K29" s="4"/>
      <c r="L29" s="14">
        <v>25</v>
      </c>
      <c r="M29" s="12">
        <v>42029</v>
      </c>
      <c r="N29" s="15">
        <f t="shared" si="16"/>
        <v>4.5833333333333334E-3</v>
      </c>
      <c r="O29" s="31"/>
      <c r="P29" s="14">
        <v>25</v>
      </c>
      <c r="Q29" s="12">
        <v>41664</v>
      </c>
      <c r="R29" s="15">
        <f t="shared" si="14"/>
        <v>4.2500000000000003E-3</v>
      </c>
      <c r="S29" s="4"/>
      <c r="T29" s="14">
        <v>25</v>
      </c>
      <c r="U29" s="12">
        <v>42029</v>
      </c>
      <c r="V29" s="15">
        <f t="shared" si="17"/>
        <v>4.2500000000000003E-3</v>
      </c>
      <c r="W29" s="20">
        <v>2013</v>
      </c>
      <c r="X29" s="25">
        <f t="shared" si="15"/>
        <v>1.0589999999999999</v>
      </c>
      <c r="Z29" s="25">
        <f t="shared" ref="Z29:Z31" si="22">1+Z20</f>
        <v>1.071</v>
      </c>
      <c r="AA29" s="14">
        <v>25</v>
      </c>
      <c r="AB29" s="12">
        <v>40933</v>
      </c>
      <c r="AC29" s="15">
        <f t="shared" si="18"/>
        <v>6.083333333333333E-3</v>
      </c>
      <c r="AF29" s="46">
        <f>AF23*AF24*AF27-1</f>
        <v>0.1017365644999999</v>
      </c>
      <c r="AI29" s="60">
        <v>25</v>
      </c>
      <c r="AJ29" s="58">
        <v>41664</v>
      </c>
      <c r="AK29" s="61">
        <f t="shared" si="7"/>
        <v>4.2500000000000003E-3</v>
      </c>
      <c r="AL29" s="58">
        <v>42029</v>
      </c>
      <c r="AM29" s="61">
        <f t="shared" si="3"/>
        <v>4.2500000000000003E-3</v>
      </c>
      <c r="AO29" s="58">
        <v>41664</v>
      </c>
      <c r="AP29" s="61">
        <f t="shared" si="4"/>
        <v>4.9166666666666664E-3</v>
      </c>
      <c r="AQ29" s="58">
        <v>42029</v>
      </c>
      <c r="AR29" s="61">
        <f t="shared" si="5"/>
        <v>3.9166666666666664E-3</v>
      </c>
      <c r="BD29" s="80" t="s">
        <v>218</v>
      </c>
      <c r="BE29" s="93">
        <f>$AF$18/12*8</f>
        <v>4.0666666666666663E-2</v>
      </c>
      <c r="BF29" s="93">
        <f>$AG$18/12*8</f>
        <v>4.4666666666666667E-2</v>
      </c>
      <c r="BI29" s="79">
        <f t="shared" si="19"/>
        <v>5.0999999999999997E-2</v>
      </c>
      <c r="BJ29" s="79">
        <f t="shared" si="20"/>
        <v>5.8999999999999997E-2</v>
      </c>
    </row>
    <row r="30" spans="1:78">
      <c r="C30" s="34"/>
      <c r="D30" s="14">
        <v>26</v>
      </c>
      <c r="E30" s="12">
        <v>41300</v>
      </c>
      <c r="F30" s="15">
        <f t="shared" si="12"/>
        <v>5.7500000000000008E-3</v>
      </c>
      <c r="H30" s="14">
        <v>26</v>
      </c>
      <c r="I30" s="12">
        <v>41665</v>
      </c>
      <c r="J30" s="15">
        <f t="shared" si="13"/>
        <v>5.416666666666666E-3</v>
      </c>
      <c r="K30" s="4"/>
      <c r="L30" s="14">
        <v>26</v>
      </c>
      <c r="M30" s="12">
        <v>42030</v>
      </c>
      <c r="N30" s="15">
        <f t="shared" si="16"/>
        <v>4.5833333333333334E-3</v>
      </c>
      <c r="O30" s="31"/>
      <c r="P30" s="14">
        <v>26</v>
      </c>
      <c r="Q30" s="12">
        <v>41665</v>
      </c>
      <c r="R30" s="15">
        <f t="shared" si="14"/>
        <v>4.2500000000000003E-3</v>
      </c>
      <c r="S30" s="4"/>
      <c r="T30" s="14">
        <v>26</v>
      </c>
      <c r="U30" s="12">
        <v>42030</v>
      </c>
      <c r="V30" s="15">
        <f t="shared" si="17"/>
        <v>4.2500000000000003E-3</v>
      </c>
      <c r="W30" s="20">
        <v>2014</v>
      </c>
      <c r="Y30" s="25">
        <f>Y24*Y25*Y26*Y27*Y28</f>
        <v>1.5283442700483749</v>
      </c>
      <c r="Z30" s="25">
        <f t="shared" si="22"/>
        <v>1.054</v>
      </c>
      <c r="AA30" s="14">
        <v>26</v>
      </c>
      <c r="AB30" s="12">
        <v>40934</v>
      </c>
      <c r="AC30" s="15">
        <f t="shared" si="18"/>
        <v>6.083333333333333E-3</v>
      </c>
      <c r="AF30" s="46">
        <f>AF23*AF24*AF25*AF28-1</f>
        <v>0.15792512928949987</v>
      </c>
      <c r="AI30" s="60">
        <v>26</v>
      </c>
      <c r="AJ30" s="58">
        <v>41665</v>
      </c>
      <c r="AK30" s="61">
        <f t="shared" si="7"/>
        <v>4.2500000000000003E-3</v>
      </c>
      <c r="AL30" s="58">
        <v>42030</v>
      </c>
      <c r="AM30" s="61">
        <f t="shared" si="3"/>
        <v>4.2500000000000003E-3</v>
      </c>
      <c r="AO30" s="58">
        <v>41665</v>
      </c>
      <c r="AP30" s="61">
        <f t="shared" si="4"/>
        <v>4.9166666666666664E-3</v>
      </c>
      <c r="AQ30" s="58">
        <v>42030</v>
      </c>
      <c r="AR30" s="61">
        <f t="shared" si="5"/>
        <v>3.9166666666666664E-3</v>
      </c>
      <c r="BD30" s="80" t="s">
        <v>131</v>
      </c>
      <c r="BE30" s="93">
        <f>$AF$18/12*7</f>
        <v>3.5583333333333328E-2</v>
      </c>
      <c r="BF30" s="93">
        <f>$AG$18/12*7</f>
        <v>3.9083333333333331E-2</v>
      </c>
      <c r="BI30" s="79">
        <f t="shared" si="19"/>
        <v>5.0999999999999997E-2</v>
      </c>
      <c r="BJ30" s="79">
        <f t="shared" si="20"/>
        <v>5.8999999999999997E-2</v>
      </c>
    </row>
    <row r="31" spans="1:78">
      <c r="B31" s="25"/>
      <c r="D31" s="14">
        <v>27</v>
      </c>
      <c r="E31" s="12">
        <v>41301</v>
      </c>
      <c r="F31" s="15">
        <f t="shared" si="12"/>
        <v>5.7500000000000008E-3</v>
      </c>
      <c r="H31" s="14">
        <v>27</v>
      </c>
      <c r="I31" s="12">
        <v>41666</v>
      </c>
      <c r="J31" s="15">
        <f t="shared" si="13"/>
        <v>5.416666666666666E-3</v>
      </c>
      <c r="K31" s="4"/>
      <c r="L31" s="14">
        <v>27</v>
      </c>
      <c r="M31" s="12">
        <v>42031</v>
      </c>
      <c r="N31" s="15">
        <f t="shared" si="16"/>
        <v>4.5833333333333334E-3</v>
      </c>
      <c r="O31" s="31"/>
      <c r="P31" s="14">
        <v>27</v>
      </c>
      <c r="Q31" s="12">
        <v>41666</v>
      </c>
      <c r="R31" s="15">
        <f t="shared" si="14"/>
        <v>4.2500000000000003E-3</v>
      </c>
      <c r="S31" s="4"/>
      <c r="T31" s="14">
        <v>27</v>
      </c>
      <c r="U31" s="12">
        <v>42031</v>
      </c>
      <c r="V31" s="15">
        <f t="shared" si="17"/>
        <v>4.2500000000000003E-3</v>
      </c>
      <c r="W31" s="20">
        <v>2015</v>
      </c>
      <c r="Z31" s="25">
        <f t="shared" si="22"/>
        <v>1.0489999999999999</v>
      </c>
      <c r="AA31" s="14">
        <v>27</v>
      </c>
      <c r="AB31" s="12">
        <v>40935</v>
      </c>
      <c r="AC31" s="15">
        <f t="shared" si="18"/>
        <v>6.083333333333333E-3</v>
      </c>
      <c r="AI31" s="60">
        <v>27</v>
      </c>
      <c r="AJ31" s="58">
        <v>41666</v>
      </c>
      <c r="AK31" s="61">
        <f t="shared" si="7"/>
        <v>4.2500000000000003E-3</v>
      </c>
      <c r="AL31" s="58">
        <v>42031</v>
      </c>
      <c r="AM31" s="61">
        <f t="shared" si="3"/>
        <v>4.2500000000000003E-3</v>
      </c>
      <c r="AO31" s="58">
        <v>41666</v>
      </c>
      <c r="AP31" s="61">
        <f t="shared" si="4"/>
        <v>4.9166666666666664E-3</v>
      </c>
      <c r="AQ31" s="58">
        <v>42031</v>
      </c>
      <c r="AR31" s="61">
        <f t="shared" si="5"/>
        <v>3.9166666666666664E-3</v>
      </c>
      <c r="BD31" s="80" t="s">
        <v>213</v>
      </c>
      <c r="BE31" s="93">
        <f>$AF$18/12*6</f>
        <v>3.0499999999999999E-2</v>
      </c>
      <c r="BF31" s="93">
        <f>$AG$18/12*6</f>
        <v>3.3500000000000002E-2</v>
      </c>
      <c r="BI31" s="79">
        <f t="shared" si="19"/>
        <v>5.0999999999999997E-2</v>
      </c>
      <c r="BJ31" s="79">
        <f t="shared" si="20"/>
        <v>5.8999999999999997E-2</v>
      </c>
    </row>
    <row r="32" spans="1:78">
      <c r="A32" s="20"/>
      <c r="B32" s="25"/>
      <c r="D32" s="14">
        <v>28</v>
      </c>
      <c r="E32" s="12">
        <v>41302</v>
      </c>
      <c r="F32" s="15">
        <f t="shared" si="12"/>
        <v>5.7500000000000008E-3</v>
      </c>
      <c r="H32" s="14">
        <v>28</v>
      </c>
      <c r="I32" s="12">
        <v>41667</v>
      </c>
      <c r="J32" s="15">
        <f t="shared" si="13"/>
        <v>5.416666666666666E-3</v>
      </c>
      <c r="K32" s="4"/>
      <c r="L32" s="14">
        <v>28</v>
      </c>
      <c r="M32" s="12">
        <v>42032</v>
      </c>
      <c r="N32" s="15">
        <f t="shared" si="16"/>
        <v>4.5833333333333334E-3</v>
      </c>
      <c r="O32" s="31"/>
      <c r="P32" s="14">
        <v>28</v>
      </c>
      <c r="Q32" s="12">
        <v>41667</v>
      </c>
      <c r="R32" s="15">
        <f t="shared" si="14"/>
        <v>4.2500000000000003E-3</v>
      </c>
      <c r="S32" s="4"/>
      <c r="T32" s="14">
        <v>28</v>
      </c>
      <c r="U32" s="12">
        <v>42032</v>
      </c>
      <c r="V32" s="15">
        <f t="shared" si="17"/>
        <v>4.2500000000000003E-3</v>
      </c>
      <c r="X32" s="25">
        <f>X24*X25*X26*X27*X28*X29</f>
        <v>1.6452752764606962</v>
      </c>
      <c r="Z32" s="34">
        <f>Z24*Z25*Z26*Z27*Z28*Z29</f>
        <v>1.6624345765187023</v>
      </c>
      <c r="AA32" s="14">
        <v>28</v>
      </c>
      <c r="AB32" s="12">
        <v>40936</v>
      </c>
      <c r="AC32" s="15">
        <f t="shared" si="18"/>
        <v>6.083333333333333E-3</v>
      </c>
      <c r="AI32" s="60">
        <v>28</v>
      </c>
      <c r="AJ32" s="58">
        <v>41667</v>
      </c>
      <c r="AK32" s="61">
        <f t="shared" si="7"/>
        <v>4.2500000000000003E-3</v>
      </c>
      <c r="AL32" s="58">
        <v>42032</v>
      </c>
      <c r="AM32" s="61">
        <f t="shared" si="3"/>
        <v>4.2500000000000003E-3</v>
      </c>
      <c r="AO32" s="58">
        <v>41667</v>
      </c>
      <c r="AP32" s="61">
        <f t="shared" si="4"/>
        <v>4.9166666666666664E-3</v>
      </c>
      <c r="AQ32" s="58">
        <v>42032</v>
      </c>
      <c r="AR32" s="61">
        <f t="shared" si="5"/>
        <v>3.9166666666666664E-3</v>
      </c>
      <c r="BD32" s="80" t="s">
        <v>130</v>
      </c>
      <c r="BE32" s="93">
        <f>$AF$18/12*5</f>
        <v>2.5416666666666664E-2</v>
      </c>
      <c r="BF32" s="93">
        <f>$AG$18/12*5</f>
        <v>2.7916666666666666E-2</v>
      </c>
      <c r="BI32" s="79">
        <f t="shared" si="19"/>
        <v>5.0999999999999997E-2</v>
      </c>
      <c r="BJ32" s="79">
        <f t="shared" si="20"/>
        <v>5.8999999999999997E-2</v>
      </c>
    </row>
    <row r="33" spans="1:62">
      <c r="A33" s="20"/>
      <c r="B33" s="25"/>
      <c r="D33" s="14">
        <v>29</v>
      </c>
      <c r="E33" s="12">
        <v>41303</v>
      </c>
      <c r="F33" s="15">
        <f t="shared" si="12"/>
        <v>5.7500000000000008E-3</v>
      </c>
      <c r="H33" s="14">
        <v>29</v>
      </c>
      <c r="I33" s="12">
        <v>41668</v>
      </c>
      <c r="J33" s="15">
        <f t="shared" si="13"/>
        <v>5.416666666666666E-3</v>
      </c>
      <c r="K33" s="4"/>
      <c r="L33" s="14">
        <v>29</v>
      </c>
      <c r="M33" s="12">
        <v>42033</v>
      </c>
      <c r="N33" s="15">
        <f t="shared" si="16"/>
        <v>4.5833333333333334E-3</v>
      </c>
      <c r="O33" s="31"/>
      <c r="P33" s="14">
        <v>29</v>
      </c>
      <c r="Q33" s="12">
        <v>41668</v>
      </c>
      <c r="R33" s="15">
        <f t="shared" si="14"/>
        <v>4.2500000000000003E-3</v>
      </c>
      <c r="S33" s="4"/>
      <c r="T33" s="14">
        <v>29</v>
      </c>
      <c r="U33" s="12">
        <v>42033</v>
      </c>
      <c r="V33" s="15">
        <f t="shared" si="17"/>
        <v>4.2500000000000003E-3</v>
      </c>
      <c r="Z33" s="34">
        <f>Z25*Z26*Z27*Z28*Z29*Z30*Z24</f>
        <v>1.7522060436507121</v>
      </c>
      <c r="AA33" s="14">
        <v>29</v>
      </c>
      <c r="AB33" s="12">
        <v>40937</v>
      </c>
      <c r="AC33" s="15">
        <f t="shared" si="18"/>
        <v>6.083333333333333E-3</v>
      </c>
      <c r="AI33" s="60">
        <v>29</v>
      </c>
      <c r="AJ33" s="58">
        <v>41668</v>
      </c>
      <c r="AK33" s="61">
        <f t="shared" si="7"/>
        <v>4.2500000000000003E-3</v>
      </c>
      <c r="AL33" s="58">
        <v>42033</v>
      </c>
      <c r="AM33" s="61">
        <f t="shared" si="3"/>
        <v>4.2500000000000003E-3</v>
      </c>
      <c r="AO33" s="58">
        <v>41668</v>
      </c>
      <c r="AP33" s="61">
        <f t="shared" si="4"/>
        <v>4.9166666666666664E-3</v>
      </c>
      <c r="AQ33" s="58">
        <v>42033</v>
      </c>
      <c r="AR33" s="61">
        <f t="shared" si="5"/>
        <v>3.9166666666666664E-3</v>
      </c>
      <c r="BD33" s="80" t="s">
        <v>219</v>
      </c>
      <c r="BE33" s="93">
        <f>$AF$18/12*4</f>
        <v>2.0333333333333332E-2</v>
      </c>
      <c r="BF33" s="93">
        <f>$AG$18/12*4</f>
        <v>2.2333333333333334E-2</v>
      </c>
      <c r="BI33" s="79">
        <f t="shared" si="19"/>
        <v>5.0999999999999997E-2</v>
      </c>
      <c r="BJ33" s="79">
        <f t="shared" si="20"/>
        <v>5.8999999999999997E-2</v>
      </c>
    </row>
    <row r="34" spans="1:62" ht="38.25">
      <c r="A34" s="20"/>
      <c r="B34" s="25"/>
      <c r="D34" s="14">
        <v>30</v>
      </c>
      <c r="E34" s="12">
        <v>41304</v>
      </c>
      <c r="F34" s="15">
        <f t="shared" si="12"/>
        <v>5.7500000000000008E-3</v>
      </c>
      <c r="H34" s="14">
        <v>30</v>
      </c>
      <c r="I34" s="12">
        <v>41669</v>
      </c>
      <c r="J34" s="15">
        <f t="shared" si="13"/>
        <v>5.416666666666666E-3</v>
      </c>
      <c r="K34" s="4"/>
      <c r="L34" s="14">
        <v>30</v>
      </c>
      <c r="M34" s="12">
        <v>42034</v>
      </c>
      <c r="N34" s="15">
        <f t="shared" si="16"/>
        <v>4.5833333333333334E-3</v>
      </c>
      <c r="O34" s="31"/>
      <c r="P34" s="14">
        <v>30</v>
      </c>
      <c r="Q34" s="12">
        <v>41669</v>
      </c>
      <c r="R34" s="15">
        <f t="shared" si="14"/>
        <v>4.2500000000000003E-3</v>
      </c>
      <c r="S34" s="4"/>
      <c r="T34" s="14">
        <v>30</v>
      </c>
      <c r="U34" s="12">
        <v>42034</v>
      </c>
      <c r="V34" s="15">
        <f t="shared" si="17"/>
        <v>4.2500000000000003E-3</v>
      </c>
      <c r="W34" s="17" t="s">
        <v>13</v>
      </c>
      <c r="X34" s="17" t="s">
        <v>14</v>
      </c>
      <c r="Y34" s="17" t="s">
        <v>108</v>
      </c>
      <c r="Z34" s="34">
        <f>Z26*Z27*Z28*Z29*Z30*Z31*Z25*Z24</f>
        <v>1.8380641397895967</v>
      </c>
      <c r="AA34" s="14">
        <v>30</v>
      </c>
      <c r="AB34" s="12">
        <v>40938</v>
      </c>
      <c r="AC34" s="15">
        <f t="shared" si="18"/>
        <v>6.083333333333333E-3</v>
      </c>
      <c r="AI34" s="60">
        <v>30</v>
      </c>
      <c r="AJ34" s="58">
        <v>41669</v>
      </c>
      <c r="AK34" s="61">
        <f t="shared" si="7"/>
        <v>4.2500000000000003E-3</v>
      </c>
      <c r="AL34" s="58">
        <v>42034</v>
      </c>
      <c r="AM34" s="61">
        <f t="shared" si="3"/>
        <v>4.2500000000000003E-3</v>
      </c>
      <c r="AO34" s="58">
        <v>41669</v>
      </c>
      <c r="AP34" s="61">
        <f t="shared" si="4"/>
        <v>4.9166666666666664E-3</v>
      </c>
      <c r="AQ34" s="58">
        <v>42034</v>
      </c>
      <c r="AR34" s="61">
        <f t="shared" si="5"/>
        <v>3.9166666666666664E-3</v>
      </c>
      <c r="BD34" s="80" t="s">
        <v>220</v>
      </c>
      <c r="BE34" s="93">
        <f>$AF$18/12*3</f>
        <v>1.525E-2</v>
      </c>
      <c r="BF34" s="93">
        <f>$AG$18/12*3</f>
        <v>1.6750000000000001E-2</v>
      </c>
      <c r="BI34" s="79">
        <f t="shared" si="19"/>
        <v>5.0999999999999997E-2</v>
      </c>
      <c r="BJ34" s="79">
        <f t="shared" si="20"/>
        <v>5.8999999999999997E-2</v>
      </c>
    </row>
    <row r="35" spans="1:62">
      <c r="A35" s="20"/>
      <c r="B35" s="25"/>
      <c r="D35" s="14">
        <v>31</v>
      </c>
      <c r="E35" s="12">
        <v>41305</v>
      </c>
      <c r="F35" s="15">
        <f t="shared" si="12"/>
        <v>5.7500000000000008E-3</v>
      </c>
      <c r="H35" s="14">
        <v>31</v>
      </c>
      <c r="I35" s="12">
        <v>41670</v>
      </c>
      <c r="J35" s="15">
        <f t="shared" si="13"/>
        <v>5.416666666666666E-3</v>
      </c>
      <c r="K35" s="4"/>
      <c r="L35" s="14">
        <v>31</v>
      </c>
      <c r="M35" s="12">
        <v>42035</v>
      </c>
      <c r="N35" s="15">
        <f t="shared" si="16"/>
        <v>4.5833333333333334E-3</v>
      </c>
      <c r="O35" s="31"/>
      <c r="P35" s="14">
        <v>31</v>
      </c>
      <c r="Q35" s="12">
        <v>41670</v>
      </c>
      <c r="R35" s="15">
        <f t="shared" si="14"/>
        <v>4.2500000000000003E-3</v>
      </c>
      <c r="S35" s="4"/>
      <c r="T35" s="14">
        <v>31</v>
      </c>
      <c r="U35" s="12">
        <v>42035</v>
      </c>
      <c r="V35" s="15">
        <f t="shared" si="17"/>
        <v>4.2500000000000003E-3</v>
      </c>
      <c r="W35" s="20">
        <v>2008</v>
      </c>
      <c r="X35" s="21">
        <v>8.7999999999999995E-2</v>
      </c>
      <c r="Y35" s="21">
        <v>0.185</v>
      </c>
      <c r="AA35" s="14">
        <v>31</v>
      </c>
      <c r="AB35" s="12">
        <v>40939</v>
      </c>
      <c r="AC35" s="15">
        <f t="shared" si="18"/>
        <v>6.083333333333333E-3</v>
      </c>
      <c r="AI35" s="60">
        <v>31</v>
      </c>
      <c r="AJ35" s="58">
        <v>41670</v>
      </c>
      <c r="AK35" s="61">
        <f t="shared" si="7"/>
        <v>4.2500000000000003E-3</v>
      </c>
      <c r="AL35" s="58">
        <v>42035</v>
      </c>
      <c r="AM35" s="61">
        <f t="shared" si="3"/>
        <v>4.2500000000000003E-3</v>
      </c>
      <c r="AO35" s="58">
        <v>41670</v>
      </c>
      <c r="AP35" s="61">
        <f t="shared" si="4"/>
        <v>4.9166666666666664E-3</v>
      </c>
      <c r="AQ35" s="58">
        <v>42035</v>
      </c>
      <c r="AR35" s="61">
        <f t="shared" si="5"/>
        <v>3.9166666666666664E-3</v>
      </c>
      <c r="BD35" s="80" t="s">
        <v>221</v>
      </c>
      <c r="BE35" s="93">
        <f>$AF$18/12*2</f>
        <v>1.0166666666666666E-2</v>
      </c>
      <c r="BF35" s="93">
        <f>$AG$18/12*2</f>
        <v>1.1166666666666667E-2</v>
      </c>
      <c r="BI35" s="79">
        <f t="shared" si="19"/>
        <v>5.0999999999999997E-2</v>
      </c>
      <c r="BJ35" s="79">
        <f t="shared" si="20"/>
        <v>5.8999999999999997E-2</v>
      </c>
    </row>
    <row r="36" spans="1:62">
      <c r="A36" s="20"/>
      <c r="B36" s="25"/>
      <c r="D36" s="14">
        <v>32</v>
      </c>
      <c r="E36" s="12">
        <v>41306</v>
      </c>
      <c r="F36" s="29">
        <f t="shared" ref="F36" si="23">F5+F$4/D$4/100</f>
        <v>8.6250000000000007E-3</v>
      </c>
      <c r="H36" s="14">
        <v>32</v>
      </c>
      <c r="I36" s="12">
        <v>41671</v>
      </c>
      <c r="J36" s="29">
        <f t="shared" ref="J36" si="24">J5+J$4/H$4/100</f>
        <v>8.1249999999999985E-3</v>
      </c>
      <c r="K36" s="4"/>
      <c r="L36" s="14">
        <v>32</v>
      </c>
      <c r="M36" s="12">
        <v>42036</v>
      </c>
      <c r="N36" s="29">
        <f t="shared" ref="N36:N63" si="25">N5+N$4/L$4/100</f>
        <v>6.875E-3</v>
      </c>
      <c r="O36" s="31"/>
      <c r="P36" s="14">
        <v>32</v>
      </c>
      <c r="Q36" s="12">
        <v>41671</v>
      </c>
      <c r="R36" s="29">
        <f t="shared" ref="R36" si="26">R5+R$4/P$4/100</f>
        <v>6.3750000000000005E-3</v>
      </c>
      <c r="S36" s="4"/>
      <c r="T36" s="14">
        <v>32</v>
      </c>
      <c r="U36" s="12">
        <v>42036</v>
      </c>
      <c r="V36" s="29">
        <f t="shared" ref="V36:V63" si="27">V5+V$4/T$4/100</f>
        <v>6.3750000000000005E-3</v>
      </c>
      <c r="W36" s="20">
        <v>2009</v>
      </c>
      <c r="X36" s="21">
        <v>0.08</v>
      </c>
      <c r="Y36" s="21">
        <v>7.6999999999999999E-2</v>
      </c>
      <c r="AA36" s="30">
        <v>32</v>
      </c>
      <c r="AB36" s="28">
        <v>40940</v>
      </c>
      <c r="AC36" s="29">
        <f t="shared" ref="AC36:AC64" si="28">AC5+AC$4/AA$4/100</f>
        <v>9.1249999999999994E-3</v>
      </c>
      <c r="AI36" s="60">
        <v>32</v>
      </c>
      <c r="AJ36" s="63">
        <v>41671</v>
      </c>
      <c r="AK36" s="61">
        <f t="shared" si="7"/>
        <v>4.2500000000000003E-3</v>
      </c>
      <c r="AL36" s="58">
        <v>42036</v>
      </c>
      <c r="AM36" s="61">
        <f t="shared" si="3"/>
        <v>4.2500000000000003E-3</v>
      </c>
      <c r="AO36" s="63">
        <v>41671</v>
      </c>
      <c r="AP36" s="61">
        <f t="shared" si="4"/>
        <v>4.9166666666666664E-3</v>
      </c>
      <c r="AQ36" s="58">
        <v>42036</v>
      </c>
      <c r="AR36" s="61">
        <f t="shared" si="5"/>
        <v>3.9166666666666664E-3</v>
      </c>
      <c r="BD36" s="80" t="s">
        <v>222</v>
      </c>
      <c r="BE36" s="93">
        <f>$AF$18/12*1</f>
        <v>5.0833333333333329E-3</v>
      </c>
      <c r="BF36" s="93">
        <f>$AG$18/12*1</f>
        <v>5.5833333333333334E-3</v>
      </c>
      <c r="BI36" s="79">
        <f t="shared" si="19"/>
        <v>5.0999999999999997E-2</v>
      </c>
      <c r="BJ36" s="79">
        <f t="shared" si="20"/>
        <v>5.8999999999999997E-2</v>
      </c>
    </row>
    <row r="37" spans="1:62">
      <c r="A37" s="20"/>
      <c r="B37" s="25"/>
      <c r="D37" s="14">
        <v>33</v>
      </c>
      <c r="E37" s="12">
        <v>41307</v>
      </c>
      <c r="F37" s="15">
        <f t="shared" ref="F37:F63" si="29">F6+F$4/D$4/100</f>
        <v>8.6250000000000007E-3</v>
      </c>
      <c r="H37" s="14">
        <v>33</v>
      </c>
      <c r="I37" s="12">
        <v>41672</v>
      </c>
      <c r="J37" s="15">
        <f t="shared" ref="J37:J63" si="30">J6+J$4/H$4/100</f>
        <v>8.1249999999999985E-3</v>
      </c>
      <c r="K37" s="4"/>
      <c r="L37" s="14">
        <v>33</v>
      </c>
      <c r="M37" s="12">
        <v>42037</v>
      </c>
      <c r="N37" s="15">
        <f t="shared" si="25"/>
        <v>6.875E-3</v>
      </c>
      <c r="O37" s="31"/>
      <c r="P37" s="14">
        <v>33</v>
      </c>
      <c r="Q37" s="12">
        <v>41672</v>
      </c>
      <c r="R37" s="15">
        <f t="shared" ref="R37:R63" si="31">R6+R$4/P$4/100</f>
        <v>6.3750000000000005E-3</v>
      </c>
      <c r="S37" s="4"/>
      <c r="T37" s="14">
        <v>33</v>
      </c>
      <c r="U37" s="12">
        <v>42037</v>
      </c>
      <c r="V37" s="15">
        <f t="shared" si="27"/>
        <v>6.3750000000000005E-3</v>
      </c>
      <c r="W37" s="20">
        <v>2010</v>
      </c>
      <c r="X37" s="21">
        <v>0.08</v>
      </c>
      <c r="Y37" s="21">
        <v>8.2000000000000003E-2</v>
      </c>
      <c r="AA37" s="14">
        <v>33</v>
      </c>
      <c r="AB37" s="12">
        <v>40941</v>
      </c>
      <c r="AC37" s="15">
        <f t="shared" si="28"/>
        <v>9.1249999999999994E-3</v>
      </c>
      <c r="AI37" s="60">
        <v>33</v>
      </c>
      <c r="AJ37" s="58">
        <v>41672</v>
      </c>
      <c r="AK37" s="61">
        <f t="shared" si="7"/>
        <v>4.2500000000000003E-3</v>
      </c>
      <c r="AL37" s="58">
        <v>42037</v>
      </c>
      <c r="AM37" s="61">
        <f t="shared" si="3"/>
        <v>4.2500000000000003E-3</v>
      </c>
      <c r="AO37" s="58">
        <v>41672</v>
      </c>
      <c r="AP37" s="61">
        <f t="shared" si="4"/>
        <v>4.9166666666666664E-3</v>
      </c>
      <c r="AQ37" s="58">
        <v>42037</v>
      </c>
      <c r="AR37" s="61">
        <f t="shared" si="5"/>
        <v>3.9166666666666664E-3</v>
      </c>
      <c r="BD37" s="91" t="s">
        <v>245</v>
      </c>
      <c r="BE37" s="94">
        <f>(1+$AF$17)*(1+$AF$18)*(1+$AF$16/4*3)-1</f>
        <v>0.20793576800000002</v>
      </c>
      <c r="BF37" s="94">
        <f>(1+$AG$18)*(1+$AG$17/4*3)-1</f>
        <v>0.1078127499999999</v>
      </c>
      <c r="BI37" s="79"/>
      <c r="BJ37" s="79"/>
    </row>
    <row r="38" spans="1:62">
      <c r="A38" s="20"/>
      <c r="B38" s="25"/>
      <c r="D38" s="14">
        <v>34</v>
      </c>
      <c r="E38" s="12">
        <v>41308</v>
      </c>
      <c r="F38" s="15">
        <f t="shared" si="29"/>
        <v>8.6250000000000007E-3</v>
      </c>
      <c r="H38" s="14">
        <v>34</v>
      </c>
      <c r="I38" s="12">
        <v>41673</v>
      </c>
      <c r="J38" s="15">
        <f t="shared" si="30"/>
        <v>8.1249999999999985E-3</v>
      </c>
      <c r="K38" s="4"/>
      <c r="L38" s="14">
        <v>34</v>
      </c>
      <c r="M38" s="12">
        <v>42038</v>
      </c>
      <c r="N38" s="15">
        <f t="shared" si="25"/>
        <v>6.875E-3</v>
      </c>
      <c r="O38" s="31"/>
      <c r="P38" s="14">
        <v>34</v>
      </c>
      <c r="Q38" s="12">
        <v>41673</v>
      </c>
      <c r="R38" s="15">
        <f t="shared" si="31"/>
        <v>6.3750000000000005E-3</v>
      </c>
      <c r="S38" s="4"/>
      <c r="T38" s="14">
        <v>34</v>
      </c>
      <c r="U38" s="12">
        <v>42038</v>
      </c>
      <c r="V38" s="15">
        <f t="shared" si="27"/>
        <v>6.3750000000000005E-3</v>
      </c>
      <c r="W38" s="20">
        <v>2011</v>
      </c>
      <c r="X38" s="21">
        <v>7.5999999999999998E-2</v>
      </c>
      <c r="Y38" s="33">
        <v>8.6999999999999994E-2</v>
      </c>
      <c r="AA38" s="14">
        <v>34</v>
      </c>
      <c r="AB38" s="12">
        <v>40942</v>
      </c>
      <c r="AC38" s="15">
        <f t="shared" si="28"/>
        <v>9.1249999999999994E-3</v>
      </c>
      <c r="AI38" s="60">
        <v>34</v>
      </c>
      <c r="AJ38" s="58">
        <v>41673</v>
      </c>
      <c r="AK38" s="61">
        <f t="shared" si="7"/>
        <v>4.2500000000000003E-3</v>
      </c>
      <c r="AL38" s="58">
        <v>42038</v>
      </c>
      <c r="AM38" s="61">
        <f t="shared" si="3"/>
        <v>4.2500000000000003E-3</v>
      </c>
      <c r="AO38" s="58">
        <v>41673</v>
      </c>
      <c r="AP38" s="61">
        <f t="shared" si="4"/>
        <v>4.9166666666666664E-3</v>
      </c>
      <c r="AQ38" s="58">
        <v>42038</v>
      </c>
      <c r="AR38" s="61">
        <f t="shared" si="5"/>
        <v>3.9166666666666664E-3</v>
      </c>
      <c r="BD38" s="91" t="s">
        <v>246</v>
      </c>
      <c r="BE38" s="94">
        <f>(1+$AF$17)*(1+$AF$18)*(1+$AF$16/4*2)-1</f>
        <v>0.18300651200000018</v>
      </c>
      <c r="BF38" s="94">
        <f>(1+$AG$18)*(1+$AG$17/4*2)-1</f>
        <v>9.4208500000000139E-2</v>
      </c>
      <c r="BI38" s="79"/>
      <c r="BJ38" s="79"/>
    </row>
    <row r="39" spans="1:62">
      <c r="B39" s="25"/>
      <c r="D39" s="14">
        <v>35</v>
      </c>
      <c r="E39" s="12">
        <v>41309</v>
      </c>
      <c r="F39" s="15">
        <f t="shared" si="29"/>
        <v>8.6250000000000007E-3</v>
      </c>
      <c r="H39" s="14">
        <v>35</v>
      </c>
      <c r="I39" s="12">
        <v>41674</v>
      </c>
      <c r="J39" s="15">
        <f t="shared" si="30"/>
        <v>8.1249999999999985E-3</v>
      </c>
      <c r="K39" s="4"/>
      <c r="L39" s="14">
        <v>35</v>
      </c>
      <c r="M39" s="12">
        <v>42039</v>
      </c>
      <c r="N39" s="15">
        <f t="shared" si="25"/>
        <v>6.875E-3</v>
      </c>
      <c r="O39" s="31"/>
      <c r="P39" s="14">
        <v>35</v>
      </c>
      <c r="Q39" s="12">
        <v>41674</v>
      </c>
      <c r="R39" s="15">
        <f t="shared" si="31"/>
        <v>6.3750000000000005E-3</v>
      </c>
      <c r="S39" s="4"/>
      <c r="T39" s="14">
        <v>35</v>
      </c>
      <c r="U39" s="12">
        <v>42039</v>
      </c>
      <c r="V39" s="15">
        <f t="shared" si="27"/>
        <v>6.3750000000000005E-3</v>
      </c>
      <c r="W39" s="20">
        <v>2012</v>
      </c>
      <c r="X39" s="21">
        <v>7.2999999999999995E-2</v>
      </c>
      <c r="Y39" s="32">
        <v>7.6999999999999999E-2</v>
      </c>
      <c r="AA39" s="14">
        <v>35</v>
      </c>
      <c r="AB39" s="12">
        <v>40943</v>
      </c>
      <c r="AC39" s="15">
        <f t="shared" si="28"/>
        <v>9.1249999999999994E-3</v>
      </c>
      <c r="AI39" s="60">
        <v>35</v>
      </c>
      <c r="AJ39" s="58">
        <v>41674</v>
      </c>
      <c r="AK39" s="61">
        <f t="shared" si="7"/>
        <v>4.2500000000000003E-3</v>
      </c>
      <c r="AL39" s="58">
        <v>42039</v>
      </c>
      <c r="AM39" s="61">
        <f t="shared" si="3"/>
        <v>4.2500000000000003E-3</v>
      </c>
      <c r="AO39" s="58">
        <v>41674</v>
      </c>
      <c r="AP39" s="61">
        <f t="shared" si="4"/>
        <v>4.9166666666666664E-3</v>
      </c>
      <c r="AQ39" s="58">
        <v>42039</v>
      </c>
      <c r="AR39" s="61">
        <f t="shared" si="5"/>
        <v>3.9166666666666664E-3</v>
      </c>
      <c r="BD39" s="91" t="s">
        <v>247</v>
      </c>
      <c r="BE39" s="94">
        <f>(1+$AF$17)*(1+$AF$18)*(1+$AF$16/4*1)-1</f>
        <v>0.15807725600000011</v>
      </c>
      <c r="BF39" s="94">
        <f>(1+$AG$18)*(1+$AG$17/4*1)-1</f>
        <v>8.0604249999999933E-2</v>
      </c>
      <c r="BI39" s="79"/>
      <c r="BJ39" s="79"/>
    </row>
    <row r="40" spans="1:62">
      <c r="D40" s="14">
        <v>36</v>
      </c>
      <c r="E40" s="12">
        <v>41310</v>
      </c>
      <c r="F40" s="15">
        <f t="shared" si="29"/>
        <v>8.6250000000000007E-3</v>
      </c>
      <c r="H40" s="14">
        <v>36</v>
      </c>
      <c r="I40" s="12">
        <v>41675</v>
      </c>
      <c r="J40" s="15">
        <f t="shared" si="30"/>
        <v>8.1249999999999985E-3</v>
      </c>
      <c r="K40" s="4"/>
      <c r="L40" s="14">
        <v>36</v>
      </c>
      <c r="M40" s="12">
        <v>42040</v>
      </c>
      <c r="N40" s="15">
        <f t="shared" si="25"/>
        <v>6.875E-3</v>
      </c>
      <c r="O40" s="31"/>
      <c r="P40" s="14">
        <v>36</v>
      </c>
      <c r="Q40" s="12">
        <v>41675</v>
      </c>
      <c r="R40" s="15">
        <f t="shared" si="31"/>
        <v>6.3750000000000005E-3</v>
      </c>
      <c r="S40" s="4"/>
      <c r="T40" s="14">
        <v>36</v>
      </c>
      <c r="U40" s="12">
        <v>42040</v>
      </c>
      <c r="V40" s="15">
        <f t="shared" si="27"/>
        <v>6.3750000000000005E-3</v>
      </c>
      <c r="W40" s="20">
        <v>2013</v>
      </c>
      <c r="X40" s="21">
        <v>6.9000000000000006E-2</v>
      </c>
      <c r="Y40" s="32">
        <v>7.1999999999999995E-2</v>
      </c>
      <c r="AA40" s="14">
        <v>36</v>
      </c>
      <c r="AB40" s="12">
        <v>40944</v>
      </c>
      <c r="AC40" s="15">
        <f t="shared" si="28"/>
        <v>9.1249999999999994E-3</v>
      </c>
      <c r="AI40" s="60">
        <v>36</v>
      </c>
      <c r="AJ40" s="58">
        <v>41675</v>
      </c>
      <c r="AK40" s="61">
        <f t="shared" si="7"/>
        <v>4.2500000000000003E-3</v>
      </c>
      <c r="AL40" s="58">
        <v>42040</v>
      </c>
      <c r="AM40" s="61">
        <f t="shared" si="3"/>
        <v>4.2500000000000003E-3</v>
      </c>
      <c r="AO40" s="58">
        <v>41675</v>
      </c>
      <c r="AP40" s="61">
        <f t="shared" si="4"/>
        <v>4.9166666666666664E-3</v>
      </c>
      <c r="AQ40" s="58">
        <v>42040</v>
      </c>
      <c r="AR40" s="61">
        <f t="shared" si="5"/>
        <v>3.9166666666666664E-3</v>
      </c>
      <c r="BD40" s="91" t="s">
        <v>248</v>
      </c>
      <c r="BE40" s="94">
        <f>(1+$AF$17)*(1+$AF$18)-1</f>
        <v>0.13314800000000004</v>
      </c>
      <c r="BF40" s="94">
        <f t="shared" ref="BF40" si="32">$AG$18</f>
        <v>6.7000000000000004E-2</v>
      </c>
      <c r="BI40" s="79"/>
      <c r="BJ40" s="79"/>
    </row>
    <row r="41" spans="1:62">
      <c r="D41" s="14">
        <v>37</v>
      </c>
      <c r="E41" s="12">
        <v>41311</v>
      </c>
      <c r="F41" s="15">
        <f t="shared" si="29"/>
        <v>8.6250000000000007E-3</v>
      </c>
      <c r="H41" s="14">
        <v>37</v>
      </c>
      <c r="I41" s="12">
        <v>41676</v>
      </c>
      <c r="J41" s="15">
        <f t="shared" si="30"/>
        <v>8.1249999999999985E-3</v>
      </c>
      <c r="K41" s="4"/>
      <c r="L41" s="14">
        <v>37</v>
      </c>
      <c r="M41" s="12">
        <v>42041</v>
      </c>
      <c r="N41" s="15">
        <f t="shared" si="25"/>
        <v>6.875E-3</v>
      </c>
      <c r="O41" s="31"/>
      <c r="P41" s="14">
        <v>37</v>
      </c>
      <c r="Q41" s="12">
        <v>41676</v>
      </c>
      <c r="R41" s="15">
        <f t="shared" si="31"/>
        <v>6.3750000000000005E-3</v>
      </c>
      <c r="S41" s="4"/>
      <c r="T41" s="14">
        <v>37</v>
      </c>
      <c r="U41" s="12">
        <v>42041</v>
      </c>
      <c r="V41" s="15">
        <f t="shared" si="27"/>
        <v>6.3750000000000005E-3</v>
      </c>
      <c r="W41" s="20">
        <v>2014</v>
      </c>
      <c r="X41" s="21">
        <v>6.5000000000000002E-2</v>
      </c>
      <c r="Y41" s="32">
        <v>7.0000000000000007E-2</v>
      </c>
      <c r="AA41" s="14">
        <v>37</v>
      </c>
      <c r="AB41" s="12">
        <v>40945</v>
      </c>
      <c r="AC41" s="15">
        <f t="shared" si="28"/>
        <v>9.1249999999999994E-3</v>
      </c>
      <c r="AI41" s="60">
        <v>37</v>
      </c>
      <c r="AJ41" s="58">
        <v>41676</v>
      </c>
      <c r="AK41" s="64">
        <f t="shared" ref="AK41:AK68" si="33">AK$39+AK$4/AI$4/100</f>
        <v>8.5000000000000006E-3</v>
      </c>
      <c r="AL41" s="58">
        <v>42041</v>
      </c>
      <c r="AM41" s="64">
        <f t="shared" ref="AM41:AM68" si="34">AM$39+AM$4/AI$4/100</f>
        <v>8.5000000000000006E-3</v>
      </c>
      <c r="AO41" s="58">
        <v>41676</v>
      </c>
      <c r="AP41" s="64">
        <f t="shared" ref="AP41:AP68" si="35">AP$39+AP$4/AI$4/100</f>
        <v>9.8333333333333328E-3</v>
      </c>
      <c r="AQ41" s="58">
        <v>42041</v>
      </c>
      <c r="AR41" s="64">
        <f t="shared" ref="AR41:AR68" si="36">AR$39+AR$4/AI$4/100</f>
        <v>7.8333333333333328E-3</v>
      </c>
      <c r="BD41" s="81" t="s">
        <v>144</v>
      </c>
      <c r="BE41" s="95">
        <f>(1+$AF$18)*(1+$AF$17/4*3)-1</f>
        <v>0.11511099999999996</v>
      </c>
      <c r="BF41" s="95">
        <f>(1+$AG$18)*(1+$AG$17/4*3)-1</f>
        <v>0.1078127499999999</v>
      </c>
      <c r="BI41" s="79">
        <f t="shared" si="19"/>
        <v>5.0999999999999997E-2</v>
      </c>
      <c r="BJ41" s="79">
        <f t="shared" si="20"/>
        <v>5.8999999999999997E-2</v>
      </c>
    </row>
    <row r="42" spans="1:62">
      <c r="D42" s="14">
        <v>38</v>
      </c>
      <c r="E42" s="12">
        <v>41312</v>
      </c>
      <c r="F42" s="15">
        <f t="shared" si="29"/>
        <v>8.6250000000000007E-3</v>
      </c>
      <c r="H42" s="14">
        <v>38</v>
      </c>
      <c r="I42" s="12">
        <v>41677</v>
      </c>
      <c r="J42" s="15">
        <f t="shared" si="30"/>
        <v>8.1249999999999985E-3</v>
      </c>
      <c r="K42" s="4"/>
      <c r="L42" s="14">
        <v>38</v>
      </c>
      <c r="M42" s="12">
        <v>42042</v>
      </c>
      <c r="N42" s="15">
        <f t="shared" si="25"/>
        <v>6.875E-3</v>
      </c>
      <c r="O42" s="31"/>
      <c r="P42" s="14">
        <v>38</v>
      </c>
      <c r="Q42" s="12">
        <v>41677</v>
      </c>
      <c r="R42" s="15">
        <f t="shared" si="31"/>
        <v>6.3750000000000005E-3</v>
      </c>
      <c r="S42" s="4"/>
      <c r="T42" s="14">
        <v>38</v>
      </c>
      <c r="U42" s="12">
        <v>42042</v>
      </c>
      <c r="V42" s="15">
        <f t="shared" si="27"/>
        <v>6.3750000000000005E-3</v>
      </c>
      <c r="W42" s="20">
        <v>2015</v>
      </c>
      <c r="X42" s="21"/>
      <c r="Y42" s="32">
        <v>6.5000000000000002E-2</v>
      </c>
      <c r="AA42" s="14">
        <v>38</v>
      </c>
      <c r="AB42" s="12">
        <v>40946</v>
      </c>
      <c r="AC42" s="15">
        <f t="shared" si="28"/>
        <v>9.1249999999999994E-3</v>
      </c>
      <c r="AI42" s="60">
        <v>38</v>
      </c>
      <c r="AJ42" s="58">
        <v>41677</v>
      </c>
      <c r="AK42" s="61">
        <f t="shared" si="33"/>
        <v>8.5000000000000006E-3</v>
      </c>
      <c r="AL42" s="58">
        <v>42042</v>
      </c>
      <c r="AM42" s="61">
        <f t="shared" si="34"/>
        <v>8.5000000000000006E-3</v>
      </c>
      <c r="AO42" s="58">
        <v>41677</v>
      </c>
      <c r="AP42" s="61">
        <f t="shared" si="35"/>
        <v>9.8333333333333328E-3</v>
      </c>
      <c r="AQ42" s="58">
        <v>42042</v>
      </c>
      <c r="AR42" s="61">
        <f t="shared" si="36"/>
        <v>7.8333333333333328E-3</v>
      </c>
      <c r="BD42" s="81" t="s">
        <v>143</v>
      </c>
      <c r="BE42" s="95">
        <f>(1+$AF$18)*(1+$AF$17/4*2)-1</f>
        <v>9.7073999999999883E-2</v>
      </c>
      <c r="BF42" s="95">
        <f>(1+$AG$18)*(1+$AG$17/4*2)-1</f>
        <v>9.4208500000000139E-2</v>
      </c>
      <c r="BI42" s="79">
        <f t="shared" si="19"/>
        <v>5.0999999999999997E-2</v>
      </c>
      <c r="BJ42" s="79">
        <f t="shared" si="20"/>
        <v>5.8999999999999997E-2</v>
      </c>
    </row>
    <row r="43" spans="1:62">
      <c r="B43" s="25"/>
      <c r="D43" s="14">
        <v>39</v>
      </c>
      <c r="E43" s="12">
        <v>41313</v>
      </c>
      <c r="F43" s="15">
        <f t="shared" si="29"/>
        <v>8.6250000000000007E-3</v>
      </c>
      <c r="H43" s="14">
        <v>39</v>
      </c>
      <c r="I43" s="12">
        <v>41678</v>
      </c>
      <c r="J43" s="15">
        <f t="shared" si="30"/>
        <v>8.1249999999999985E-3</v>
      </c>
      <c r="K43" s="4"/>
      <c r="L43" s="14">
        <v>39</v>
      </c>
      <c r="M43" s="12">
        <v>42043</v>
      </c>
      <c r="N43" s="15">
        <f t="shared" si="25"/>
        <v>6.875E-3</v>
      </c>
      <c r="O43" s="31"/>
      <c r="P43" s="14">
        <v>39</v>
      </c>
      <c r="Q43" s="12">
        <v>41678</v>
      </c>
      <c r="R43" s="15">
        <f t="shared" si="31"/>
        <v>6.3750000000000005E-3</v>
      </c>
      <c r="S43" s="4"/>
      <c r="T43" s="14">
        <v>39</v>
      </c>
      <c r="U43" s="12">
        <v>42043</v>
      </c>
      <c r="V43" s="15">
        <f t="shared" si="27"/>
        <v>6.3750000000000005E-3</v>
      </c>
      <c r="AA43" s="14">
        <v>39</v>
      </c>
      <c r="AB43" s="12">
        <v>40947</v>
      </c>
      <c r="AC43" s="15">
        <f t="shared" si="28"/>
        <v>9.1249999999999994E-3</v>
      </c>
      <c r="AI43" s="60">
        <v>39</v>
      </c>
      <c r="AJ43" s="58">
        <v>41678</v>
      </c>
      <c r="AK43" s="61">
        <f t="shared" si="33"/>
        <v>8.5000000000000006E-3</v>
      </c>
      <c r="AL43" s="58">
        <v>42043</v>
      </c>
      <c r="AM43" s="61">
        <f t="shared" si="34"/>
        <v>8.5000000000000006E-3</v>
      </c>
      <c r="AO43" s="58">
        <v>41678</v>
      </c>
      <c r="AP43" s="61">
        <f t="shared" si="35"/>
        <v>9.8333333333333328E-3</v>
      </c>
      <c r="AQ43" s="58">
        <v>42043</v>
      </c>
      <c r="AR43" s="61">
        <f t="shared" si="36"/>
        <v>7.8333333333333328E-3</v>
      </c>
      <c r="BD43" s="81" t="s">
        <v>160</v>
      </c>
      <c r="BE43" s="95">
        <f>(1+$AF$18)*(1+$AF$17/4*1)-1</f>
        <v>7.9036999999999802E-2</v>
      </c>
      <c r="BF43" s="95">
        <f>(1+$AG$18)*(1+$AG$17/4*1)-1</f>
        <v>8.0604249999999933E-2</v>
      </c>
      <c r="BI43" s="79">
        <f t="shared" si="19"/>
        <v>5.0999999999999997E-2</v>
      </c>
      <c r="BJ43" s="79">
        <f t="shared" si="20"/>
        <v>5.8999999999999997E-2</v>
      </c>
    </row>
    <row r="44" spans="1:62">
      <c r="A44" s="35" t="s">
        <v>102</v>
      </c>
      <c r="B44" s="36"/>
      <c r="D44" s="14">
        <v>40</v>
      </c>
      <c r="E44" s="12">
        <v>41314</v>
      </c>
      <c r="F44" s="15">
        <f t="shared" si="29"/>
        <v>8.6250000000000007E-3</v>
      </c>
      <c r="H44" s="14">
        <v>40</v>
      </c>
      <c r="I44" s="12">
        <v>41679</v>
      </c>
      <c r="J44" s="15">
        <f t="shared" si="30"/>
        <v>8.1249999999999985E-3</v>
      </c>
      <c r="K44" s="4"/>
      <c r="L44" s="14">
        <v>40</v>
      </c>
      <c r="M44" s="12">
        <v>42044</v>
      </c>
      <c r="N44" s="15">
        <f t="shared" si="25"/>
        <v>6.875E-3</v>
      </c>
      <c r="O44" s="31"/>
      <c r="P44" s="14">
        <v>40</v>
      </c>
      <c r="Q44" s="12">
        <v>41679</v>
      </c>
      <c r="R44" s="15">
        <f t="shared" si="31"/>
        <v>6.3750000000000005E-3</v>
      </c>
      <c r="S44" s="4"/>
      <c r="T44" s="14">
        <v>40</v>
      </c>
      <c r="U44" s="12">
        <v>42044</v>
      </c>
      <c r="V44" s="15">
        <f t="shared" si="27"/>
        <v>6.3750000000000005E-3</v>
      </c>
      <c r="W44" s="20">
        <v>2008</v>
      </c>
      <c r="X44" s="25"/>
      <c r="Y44" s="25">
        <f>1+Y35</f>
        <v>1.1850000000000001</v>
      </c>
      <c r="AA44" s="14">
        <v>40</v>
      </c>
      <c r="AB44" s="12">
        <v>40948</v>
      </c>
      <c r="AC44" s="15">
        <f t="shared" si="28"/>
        <v>9.1249999999999994E-3</v>
      </c>
      <c r="AI44" s="60">
        <v>40</v>
      </c>
      <c r="AJ44" s="58">
        <v>41679</v>
      </c>
      <c r="AK44" s="61">
        <f t="shared" si="33"/>
        <v>8.5000000000000006E-3</v>
      </c>
      <c r="AL44" s="58">
        <v>42044</v>
      </c>
      <c r="AM44" s="61">
        <f t="shared" si="34"/>
        <v>8.5000000000000006E-3</v>
      </c>
      <c r="AO44" s="58">
        <v>41679</v>
      </c>
      <c r="AP44" s="61">
        <f t="shared" si="35"/>
        <v>9.8333333333333328E-3</v>
      </c>
      <c r="AQ44" s="58">
        <v>42044</v>
      </c>
      <c r="AR44" s="61">
        <f t="shared" si="36"/>
        <v>7.8333333333333328E-3</v>
      </c>
      <c r="BD44" s="81" t="s">
        <v>139</v>
      </c>
      <c r="BE44" s="95">
        <f t="shared" ref="BE44" si="37">$AF$18</f>
        <v>6.0999999999999999E-2</v>
      </c>
      <c r="BF44" s="95">
        <f t="shared" ref="BF44" si="38">$AG$18</f>
        <v>6.7000000000000004E-2</v>
      </c>
      <c r="BI44" s="79">
        <f t="shared" si="19"/>
        <v>5.0999999999999997E-2</v>
      </c>
      <c r="BJ44" s="79">
        <f t="shared" si="20"/>
        <v>5.8999999999999997E-2</v>
      </c>
    </row>
    <row r="45" spans="1:62">
      <c r="A45" s="17" t="s">
        <v>13</v>
      </c>
      <c r="B45" s="17" t="s">
        <v>14</v>
      </c>
      <c r="D45" s="14">
        <v>41</v>
      </c>
      <c r="E45" s="12">
        <v>41315</v>
      </c>
      <c r="F45" s="15">
        <f t="shared" si="29"/>
        <v>8.6250000000000007E-3</v>
      </c>
      <c r="H45" s="14">
        <v>41</v>
      </c>
      <c r="I45" s="12">
        <v>41680</v>
      </c>
      <c r="J45" s="15">
        <f t="shared" si="30"/>
        <v>8.1249999999999985E-3</v>
      </c>
      <c r="K45" s="4"/>
      <c r="L45" s="14">
        <v>41</v>
      </c>
      <c r="M45" s="12">
        <v>42045</v>
      </c>
      <c r="N45" s="15">
        <f t="shared" si="25"/>
        <v>6.875E-3</v>
      </c>
      <c r="O45" s="31"/>
      <c r="P45" s="14">
        <v>41</v>
      </c>
      <c r="Q45" s="12">
        <v>41680</v>
      </c>
      <c r="R45" s="15">
        <f t="shared" si="31"/>
        <v>6.3750000000000005E-3</v>
      </c>
      <c r="S45" s="4"/>
      <c r="T45" s="14">
        <v>41</v>
      </c>
      <c r="U45" s="12">
        <v>42045</v>
      </c>
      <c r="V45" s="15">
        <f t="shared" si="27"/>
        <v>6.3750000000000005E-3</v>
      </c>
      <c r="W45" s="20">
        <v>2009</v>
      </c>
      <c r="X45" s="25"/>
      <c r="Y45" s="25">
        <f>1+Y36</f>
        <v>1.077</v>
      </c>
      <c r="AA45" s="14">
        <v>41</v>
      </c>
      <c r="AB45" s="12">
        <v>40949</v>
      </c>
      <c r="AC45" s="15">
        <f t="shared" si="28"/>
        <v>9.1249999999999994E-3</v>
      </c>
      <c r="AI45" s="60">
        <v>41</v>
      </c>
      <c r="AJ45" s="58">
        <v>41680</v>
      </c>
      <c r="AK45" s="61">
        <f t="shared" si="33"/>
        <v>8.5000000000000006E-3</v>
      </c>
      <c r="AL45" s="58">
        <v>42045</v>
      </c>
      <c r="AM45" s="61">
        <f t="shared" si="34"/>
        <v>8.5000000000000006E-3</v>
      </c>
      <c r="AO45" s="58">
        <v>41680</v>
      </c>
      <c r="AP45" s="61">
        <f t="shared" si="35"/>
        <v>9.8333333333333328E-3</v>
      </c>
      <c r="AQ45" s="58">
        <v>42045</v>
      </c>
      <c r="AR45" s="61">
        <f t="shared" si="36"/>
        <v>7.8333333333333328E-3</v>
      </c>
      <c r="BD45" s="84" t="s">
        <v>140</v>
      </c>
      <c r="BE45" s="96">
        <f>$AF$18/4*3</f>
        <v>4.5749999999999999E-2</v>
      </c>
      <c r="BF45" s="96">
        <f>$AG$18/4*3</f>
        <v>5.0250000000000003E-2</v>
      </c>
      <c r="BI45" s="79">
        <f t="shared" si="19"/>
        <v>5.0999999999999997E-2</v>
      </c>
      <c r="BJ45" s="79">
        <f t="shared" si="20"/>
        <v>5.8999999999999997E-2</v>
      </c>
    </row>
    <row r="46" spans="1:62">
      <c r="A46" s="18">
        <v>2000</v>
      </c>
      <c r="B46" s="19">
        <v>0.3332</v>
      </c>
      <c r="D46" s="14">
        <v>42</v>
      </c>
      <c r="E46" s="12">
        <v>41316</v>
      </c>
      <c r="F46" s="15">
        <f t="shared" si="29"/>
        <v>8.6250000000000007E-3</v>
      </c>
      <c r="H46" s="14">
        <v>42</v>
      </c>
      <c r="I46" s="12">
        <v>41681</v>
      </c>
      <c r="J46" s="15">
        <f t="shared" si="30"/>
        <v>8.1249999999999985E-3</v>
      </c>
      <c r="K46" s="4"/>
      <c r="L46" s="14">
        <v>42</v>
      </c>
      <c r="M46" s="12">
        <v>42046</v>
      </c>
      <c r="N46" s="15">
        <f t="shared" si="25"/>
        <v>6.875E-3</v>
      </c>
      <c r="O46" s="31"/>
      <c r="P46" s="14">
        <v>42</v>
      </c>
      <c r="Q46" s="12">
        <v>41681</v>
      </c>
      <c r="R46" s="15">
        <f t="shared" si="31"/>
        <v>6.3750000000000005E-3</v>
      </c>
      <c r="S46" s="4"/>
      <c r="T46" s="14">
        <v>42</v>
      </c>
      <c r="U46" s="12">
        <v>42046</v>
      </c>
      <c r="V46" s="15">
        <f t="shared" si="27"/>
        <v>6.3750000000000005E-3</v>
      </c>
      <c r="W46" s="20">
        <v>2010</v>
      </c>
      <c r="X46" s="25"/>
      <c r="Y46" s="25">
        <f t="shared" ref="Y46:Y51" si="39">1+Y37</f>
        <v>1.0820000000000001</v>
      </c>
      <c r="AA46" s="14">
        <v>42</v>
      </c>
      <c r="AB46" s="12">
        <v>40950</v>
      </c>
      <c r="AC46" s="15">
        <f t="shared" si="28"/>
        <v>9.1249999999999994E-3</v>
      </c>
      <c r="AI46" s="60">
        <v>42</v>
      </c>
      <c r="AJ46" s="58">
        <v>41681</v>
      </c>
      <c r="AK46" s="61">
        <f t="shared" si="33"/>
        <v>8.5000000000000006E-3</v>
      </c>
      <c r="AL46" s="58">
        <v>42046</v>
      </c>
      <c r="AM46" s="61">
        <f t="shared" si="34"/>
        <v>8.5000000000000006E-3</v>
      </c>
      <c r="AO46" s="58">
        <v>41681</v>
      </c>
      <c r="AP46" s="61">
        <f t="shared" si="35"/>
        <v>9.8333333333333328E-3</v>
      </c>
      <c r="AQ46" s="58">
        <v>42046</v>
      </c>
      <c r="AR46" s="61">
        <f t="shared" si="36"/>
        <v>7.8333333333333328E-3</v>
      </c>
      <c r="BD46" s="84" t="s">
        <v>142</v>
      </c>
      <c r="BE46" s="96">
        <f>$AF$18/4*2</f>
        <v>3.0499999999999999E-2</v>
      </c>
      <c r="BF46" s="96">
        <f>$AG$18/4*2</f>
        <v>3.3500000000000002E-2</v>
      </c>
      <c r="BI46" s="79">
        <f t="shared" si="19"/>
        <v>5.0999999999999997E-2</v>
      </c>
      <c r="BJ46" s="79">
        <f t="shared" si="20"/>
        <v>5.8999999999999997E-2</v>
      </c>
    </row>
    <row r="47" spans="1:62">
      <c r="A47" s="20">
        <v>2001</v>
      </c>
      <c r="B47" s="21">
        <v>0.27579999999999999</v>
      </c>
      <c r="D47" s="14">
        <v>43</v>
      </c>
      <c r="E47" s="12">
        <v>41317</v>
      </c>
      <c r="F47" s="15">
        <f t="shared" si="29"/>
        <v>8.6250000000000007E-3</v>
      </c>
      <c r="H47" s="14">
        <v>43</v>
      </c>
      <c r="I47" s="12">
        <v>41682</v>
      </c>
      <c r="J47" s="15">
        <f t="shared" si="30"/>
        <v>8.1249999999999985E-3</v>
      </c>
      <c r="K47" s="4"/>
      <c r="L47" s="14">
        <v>43</v>
      </c>
      <c r="M47" s="12">
        <v>42047</v>
      </c>
      <c r="N47" s="15">
        <f t="shared" si="25"/>
        <v>6.875E-3</v>
      </c>
      <c r="O47" s="31"/>
      <c r="P47" s="14">
        <v>43</v>
      </c>
      <c r="Q47" s="12">
        <v>41682</v>
      </c>
      <c r="R47" s="15">
        <f t="shared" si="31"/>
        <v>6.3750000000000005E-3</v>
      </c>
      <c r="S47" s="4"/>
      <c r="T47" s="14">
        <v>43</v>
      </c>
      <c r="U47" s="12">
        <v>42047</v>
      </c>
      <c r="V47" s="15">
        <f t="shared" si="27"/>
        <v>6.3750000000000005E-3</v>
      </c>
      <c r="W47" s="20">
        <v>2011</v>
      </c>
      <c r="X47" s="25"/>
      <c r="Y47" s="25">
        <f t="shared" si="39"/>
        <v>1.087</v>
      </c>
      <c r="AA47" s="14">
        <v>43</v>
      </c>
      <c r="AB47" s="12">
        <v>40951</v>
      </c>
      <c r="AC47" s="15">
        <f t="shared" si="28"/>
        <v>9.1249999999999994E-3</v>
      </c>
      <c r="AI47" s="60">
        <v>43</v>
      </c>
      <c r="AJ47" s="58">
        <v>41682</v>
      </c>
      <c r="AK47" s="61">
        <f t="shared" si="33"/>
        <v>8.5000000000000006E-3</v>
      </c>
      <c r="AL47" s="58">
        <v>42047</v>
      </c>
      <c r="AM47" s="61">
        <f t="shared" si="34"/>
        <v>8.5000000000000006E-3</v>
      </c>
      <c r="AO47" s="58">
        <v>41682</v>
      </c>
      <c r="AP47" s="61">
        <f t="shared" si="35"/>
        <v>9.8333333333333328E-3</v>
      </c>
      <c r="AQ47" s="58">
        <v>42047</v>
      </c>
      <c r="AR47" s="61">
        <f t="shared" si="36"/>
        <v>7.8333333333333328E-3</v>
      </c>
      <c r="BD47" s="84" t="s">
        <v>137</v>
      </c>
      <c r="BE47" s="96">
        <f>$AF$18/4*1</f>
        <v>1.525E-2</v>
      </c>
      <c r="BF47" s="96">
        <f>$AG$18/4*1</f>
        <v>1.6750000000000001E-2</v>
      </c>
      <c r="BI47" s="79">
        <f t="shared" si="19"/>
        <v>5.0999999999999997E-2</v>
      </c>
      <c r="BJ47" s="79">
        <f t="shared" si="20"/>
        <v>5.8999999999999997E-2</v>
      </c>
    </row>
    <row r="48" spans="1:62">
      <c r="A48" s="20">
        <v>2002</v>
      </c>
      <c r="B48" s="21">
        <v>0.12640000000000001</v>
      </c>
      <c r="D48" s="14">
        <v>44</v>
      </c>
      <c r="E48" s="12">
        <v>41318</v>
      </c>
      <c r="F48" s="15">
        <f t="shared" si="29"/>
        <v>8.6250000000000007E-3</v>
      </c>
      <c r="H48" s="14">
        <v>44</v>
      </c>
      <c r="I48" s="12">
        <v>41683</v>
      </c>
      <c r="J48" s="15">
        <f t="shared" si="30"/>
        <v>8.1249999999999985E-3</v>
      </c>
      <c r="K48" s="4"/>
      <c r="L48" s="14">
        <v>44</v>
      </c>
      <c r="M48" s="12">
        <v>42048</v>
      </c>
      <c r="N48" s="15">
        <f t="shared" si="25"/>
        <v>6.875E-3</v>
      </c>
      <c r="O48" s="31"/>
      <c r="P48" s="14">
        <v>44</v>
      </c>
      <c r="Q48" s="12">
        <v>41683</v>
      </c>
      <c r="R48" s="15">
        <f t="shared" si="31"/>
        <v>6.3750000000000005E-3</v>
      </c>
      <c r="S48" s="4"/>
      <c r="T48" s="14">
        <v>44</v>
      </c>
      <c r="U48" s="12">
        <v>42048</v>
      </c>
      <c r="V48" s="15">
        <f t="shared" si="27"/>
        <v>6.3750000000000005E-3</v>
      </c>
      <c r="W48" s="20">
        <v>2012</v>
      </c>
      <c r="X48" s="25"/>
      <c r="Y48" s="25">
        <f t="shared" si="39"/>
        <v>1.077</v>
      </c>
      <c r="AA48" s="14">
        <v>44</v>
      </c>
      <c r="AB48" s="12">
        <v>40952</v>
      </c>
      <c r="AC48" s="15">
        <f t="shared" si="28"/>
        <v>9.1249999999999994E-3</v>
      </c>
      <c r="AI48" s="60">
        <v>44</v>
      </c>
      <c r="AJ48" s="58">
        <v>41683</v>
      </c>
      <c r="AK48" s="61">
        <f t="shared" si="33"/>
        <v>8.5000000000000006E-3</v>
      </c>
      <c r="AL48" s="58">
        <v>42048</v>
      </c>
      <c r="AM48" s="61">
        <f t="shared" si="34"/>
        <v>8.5000000000000006E-3</v>
      </c>
      <c r="AO48" s="58">
        <v>41683</v>
      </c>
      <c r="AP48" s="61">
        <f t="shared" si="35"/>
        <v>9.8333333333333328E-3</v>
      </c>
      <c r="AQ48" s="58">
        <v>42048</v>
      </c>
      <c r="AR48" s="61">
        <f t="shared" si="36"/>
        <v>7.8333333333333328E-3</v>
      </c>
      <c r="BD48" s="84" t="s">
        <v>145</v>
      </c>
      <c r="BE48" s="96"/>
      <c r="BF48" s="96"/>
      <c r="BI48" s="79">
        <f t="shared" si="19"/>
        <v>5.0999999999999997E-2</v>
      </c>
      <c r="BJ48" s="79">
        <f t="shared" si="20"/>
        <v>5.8999999999999997E-2</v>
      </c>
    </row>
    <row r="49" spans="1:62">
      <c r="A49" s="20">
        <v>2003</v>
      </c>
      <c r="B49" s="21">
        <v>0.14940000000000001</v>
      </c>
      <c r="D49" s="14">
        <v>45</v>
      </c>
      <c r="E49" s="12">
        <v>41319</v>
      </c>
      <c r="F49" s="15">
        <f t="shared" si="29"/>
        <v>8.6250000000000007E-3</v>
      </c>
      <c r="H49" s="14">
        <v>45</v>
      </c>
      <c r="I49" s="12">
        <v>41684</v>
      </c>
      <c r="J49" s="15">
        <f t="shared" si="30"/>
        <v>8.1249999999999985E-3</v>
      </c>
      <c r="K49" s="4"/>
      <c r="L49" s="14">
        <v>45</v>
      </c>
      <c r="M49" s="12">
        <v>42049</v>
      </c>
      <c r="N49" s="15">
        <f t="shared" si="25"/>
        <v>6.875E-3</v>
      </c>
      <c r="O49" s="31"/>
      <c r="P49" s="14">
        <v>45</v>
      </c>
      <c r="Q49" s="12">
        <v>41684</v>
      </c>
      <c r="R49" s="15">
        <f t="shared" si="31"/>
        <v>6.3750000000000005E-3</v>
      </c>
      <c r="S49" s="4"/>
      <c r="T49" s="14">
        <v>45</v>
      </c>
      <c r="U49" s="12">
        <v>42049</v>
      </c>
      <c r="V49" s="15">
        <f t="shared" si="27"/>
        <v>6.3750000000000005E-3</v>
      </c>
      <c r="W49" s="20">
        <v>2013</v>
      </c>
      <c r="X49" s="25"/>
      <c r="Y49" s="25">
        <f t="shared" si="39"/>
        <v>1.0720000000000001</v>
      </c>
      <c r="AA49" s="14">
        <v>45</v>
      </c>
      <c r="AB49" s="12">
        <v>40953</v>
      </c>
      <c r="AC49" s="15">
        <f t="shared" si="28"/>
        <v>9.1249999999999994E-3</v>
      </c>
      <c r="AI49" s="60">
        <v>45</v>
      </c>
      <c r="AJ49" s="58">
        <v>41684</v>
      </c>
      <c r="AK49" s="61">
        <f t="shared" si="33"/>
        <v>8.5000000000000006E-3</v>
      </c>
      <c r="AL49" s="58">
        <v>42049</v>
      </c>
      <c r="AM49" s="61">
        <f t="shared" si="34"/>
        <v>8.5000000000000006E-3</v>
      </c>
      <c r="AO49" s="58">
        <v>41684</v>
      </c>
      <c r="AP49" s="61">
        <f t="shared" si="35"/>
        <v>9.8333333333333328E-3</v>
      </c>
      <c r="AQ49" s="58">
        <v>42049</v>
      </c>
      <c r="AR49" s="61">
        <f t="shared" si="36"/>
        <v>7.8333333333333328E-3</v>
      </c>
      <c r="BD49" s="83" t="s">
        <v>211</v>
      </c>
      <c r="BE49" s="97"/>
      <c r="BF49" s="97"/>
      <c r="BG49" s="71">
        <f>$AF$19/4*1</f>
        <v>1.2749999999999999E-2</v>
      </c>
      <c r="BH49" s="71">
        <f>$AG$19/4*1</f>
        <v>1.4749999999999999E-2</v>
      </c>
      <c r="BI49" s="79">
        <f>$AF$19/4*3</f>
        <v>3.8249999999999999E-2</v>
      </c>
      <c r="BJ49" s="79">
        <f>$AG$19/4*3</f>
        <v>4.4249999999999998E-2</v>
      </c>
    </row>
    <row r="50" spans="1:62">
      <c r="A50" s="20">
        <v>2004</v>
      </c>
      <c r="B50" s="21">
        <v>0.158</v>
      </c>
      <c r="D50" s="14">
        <v>46</v>
      </c>
      <c r="E50" s="12">
        <v>41320</v>
      </c>
      <c r="F50" s="15">
        <f t="shared" si="29"/>
        <v>8.6250000000000007E-3</v>
      </c>
      <c r="H50" s="14">
        <v>46</v>
      </c>
      <c r="I50" s="12">
        <v>41685</v>
      </c>
      <c r="J50" s="15">
        <f t="shared" si="30"/>
        <v>8.1249999999999985E-3</v>
      </c>
      <c r="K50" s="4"/>
      <c r="L50" s="14">
        <v>46</v>
      </c>
      <c r="M50" s="12">
        <v>42050</v>
      </c>
      <c r="N50" s="15">
        <f t="shared" si="25"/>
        <v>6.875E-3</v>
      </c>
      <c r="O50" s="31"/>
      <c r="P50" s="14">
        <v>46</v>
      </c>
      <c r="Q50" s="12">
        <v>41685</v>
      </c>
      <c r="R50" s="15">
        <f t="shared" si="31"/>
        <v>6.3750000000000005E-3</v>
      </c>
      <c r="S50" s="4"/>
      <c r="T50" s="14">
        <v>46</v>
      </c>
      <c r="U50" s="12">
        <v>42050</v>
      </c>
      <c r="V50" s="15">
        <f t="shared" si="27"/>
        <v>6.3750000000000005E-3</v>
      </c>
      <c r="W50" s="20">
        <v>2014</v>
      </c>
      <c r="X50" s="25"/>
      <c r="Y50" s="25">
        <f t="shared" si="39"/>
        <v>1.07</v>
      </c>
      <c r="AA50" s="14">
        <v>46</v>
      </c>
      <c r="AB50" s="12">
        <v>40954</v>
      </c>
      <c r="AC50" s="15">
        <f t="shared" si="28"/>
        <v>9.1249999999999994E-3</v>
      </c>
      <c r="AI50" s="60">
        <v>46</v>
      </c>
      <c r="AJ50" s="58">
        <v>41685</v>
      </c>
      <c r="AK50" s="61">
        <f t="shared" si="33"/>
        <v>8.5000000000000006E-3</v>
      </c>
      <c r="AL50" s="58">
        <v>42050</v>
      </c>
      <c r="AM50" s="61">
        <f t="shared" si="34"/>
        <v>8.5000000000000006E-3</v>
      </c>
      <c r="AO50" s="58">
        <v>41685</v>
      </c>
      <c r="AP50" s="61">
        <f t="shared" si="35"/>
        <v>9.8333333333333328E-3</v>
      </c>
      <c r="AQ50" s="58">
        <v>42050</v>
      </c>
      <c r="AR50" s="61">
        <f t="shared" si="36"/>
        <v>7.8333333333333328E-3</v>
      </c>
      <c r="BD50" s="83" t="s">
        <v>212</v>
      </c>
      <c r="BE50" s="97"/>
      <c r="BF50" s="97"/>
      <c r="BG50" s="71">
        <f>$AF$19/4*2</f>
        <v>2.5499999999999998E-2</v>
      </c>
      <c r="BH50" s="72">
        <f>$AG$19/4*2</f>
        <v>2.9499999999999998E-2</v>
      </c>
      <c r="BI50" s="79">
        <f>$AF$19/4*2</f>
        <v>2.5499999999999998E-2</v>
      </c>
      <c r="BJ50" s="79">
        <f>$AG$19/4*2</f>
        <v>2.9499999999999998E-2</v>
      </c>
    </row>
    <row r="51" spans="1:62">
      <c r="A51" s="20">
        <v>2005</v>
      </c>
      <c r="B51" s="21">
        <v>0.13289999999999999</v>
      </c>
      <c r="D51" s="14">
        <v>47</v>
      </c>
      <c r="E51" s="12">
        <v>41321</v>
      </c>
      <c r="F51" s="15">
        <f t="shared" si="29"/>
        <v>8.6250000000000007E-3</v>
      </c>
      <c r="H51" s="14">
        <v>47</v>
      </c>
      <c r="I51" s="12">
        <v>41686</v>
      </c>
      <c r="J51" s="15">
        <f t="shared" si="30"/>
        <v>8.1249999999999985E-3</v>
      </c>
      <c r="K51" s="4"/>
      <c r="L51" s="14">
        <v>47</v>
      </c>
      <c r="M51" s="12">
        <v>42051</v>
      </c>
      <c r="N51" s="15">
        <f t="shared" si="25"/>
        <v>6.875E-3</v>
      </c>
      <c r="O51" s="31"/>
      <c r="P51" s="14">
        <v>47</v>
      </c>
      <c r="Q51" s="12">
        <v>41686</v>
      </c>
      <c r="R51" s="15">
        <f t="shared" si="31"/>
        <v>6.3750000000000005E-3</v>
      </c>
      <c r="S51" s="4"/>
      <c r="T51" s="14">
        <v>47</v>
      </c>
      <c r="U51" s="12">
        <v>42051</v>
      </c>
      <c r="V51" s="15">
        <f t="shared" si="27"/>
        <v>6.3750000000000005E-3</v>
      </c>
      <c r="W51" s="20">
        <v>2015</v>
      </c>
      <c r="X51" s="25"/>
      <c r="Y51" s="25">
        <f t="shared" si="39"/>
        <v>1.0649999999999999</v>
      </c>
      <c r="AA51" s="14">
        <v>47</v>
      </c>
      <c r="AB51" s="12">
        <v>40955</v>
      </c>
      <c r="AC51" s="15">
        <f t="shared" si="28"/>
        <v>9.1249999999999994E-3</v>
      </c>
      <c r="AI51" s="60">
        <v>47</v>
      </c>
      <c r="AJ51" s="58">
        <v>41686</v>
      </c>
      <c r="AK51" s="61">
        <f t="shared" si="33"/>
        <v>8.5000000000000006E-3</v>
      </c>
      <c r="AL51" s="58">
        <v>42051</v>
      </c>
      <c r="AM51" s="61">
        <f t="shared" si="34"/>
        <v>8.5000000000000006E-3</v>
      </c>
      <c r="AO51" s="58">
        <v>41686</v>
      </c>
      <c r="AP51" s="61">
        <f t="shared" si="35"/>
        <v>9.8333333333333328E-3</v>
      </c>
      <c r="AQ51" s="58">
        <v>42051</v>
      </c>
      <c r="AR51" s="61">
        <f t="shared" si="36"/>
        <v>7.8333333333333328E-3</v>
      </c>
      <c r="BD51" s="83" t="s">
        <v>223</v>
      </c>
      <c r="BE51" s="97"/>
      <c r="BF51" s="97"/>
      <c r="BG51" s="71">
        <f>$AF$19/4*3</f>
        <v>3.8249999999999999E-2</v>
      </c>
      <c r="BH51" s="72">
        <f>$AG$19/4*3</f>
        <v>4.4249999999999998E-2</v>
      </c>
      <c r="BI51" s="79">
        <f>$AF$19/4*1</f>
        <v>1.2749999999999999E-2</v>
      </c>
      <c r="BJ51" s="79">
        <f>$AG$19/4*1</f>
        <v>1.4749999999999999E-2</v>
      </c>
    </row>
    <row r="52" spans="1:62">
      <c r="A52" s="20">
        <v>2006</v>
      </c>
      <c r="B52" s="21">
        <v>0.111</v>
      </c>
      <c r="D52" s="14">
        <v>48</v>
      </c>
      <c r="E52" s="12">
        <v>41322</v>
      </c>
      <c r="F52" s="15">
        <f t="shared" si="29"/>
        <v>8.6250000000000007E-3</v>
      </c>
      <c r="H52" s="14">
        <v>48</v>
      </c>
      <c r="I52" s="12">
        <v>41687</v>
      </c>
      <c r="J52" s="15">
        <f t="shared" si="30"/>
        <v>8.1249999999999985E-3</v>
      </c>
      <c r="K52" s="4"/>
      <c r="L52" s="14">
        <v>48</v>
      </c>
      <c r="M52" s="12">
        <v>42052</v>
      </c>
      <c r="N52" s="15">
        <f t="shared" si="25"/>
        <v>6.875E-3</v>
      </c>
      <c r="O52" s="31"/>
      <c r="P52" s="14">
        <v>48</v>
      </c>
      <c r="Q52" s="12">
        <v>41687</v>
      </c>
      <c r="R52" s="15">
        <f t="shared" si="31"/>
        <v>6.3750000000000005E-3</v>
      </c>
      <c r="S52" s="4"/>
      <c r="T52" s="14">
        <v>48</v>
      </c>
      <c r="U52" s="12">
        <v>42052</v>
      </c>
      <c r="V52" s="15">
        <f t="shared" si="27"/>
        <v>6.3750000000000005E-3</v>
      </c>
      <c r="Y52" s="34">
        <f>Y44*Y45*Y46*Y47*Y48*Y49</f>
        <v>1.7330111110162558</v>
      </c>
      <c r="AA52" s="14">
        <v>48</v>
      </c>
      <c r="AB52" s="12">
        <v>40956</v>
      </c>
      <c r="AC52" s="15">
        <f t="shared" si="28"/>
        <v>9.1249999999999994E-3</v>
      </c>
      <c r="AI52" s="60">
        <v>48</v>
      </c>
      <c r="AJ52" s="58">
        <v>41687</v>
      </c>
      <c r="AK52" s="61">
        <f t="shared" si="33"/>
        <v>8.5000000000000006E-3</v>
      </c>
      <c r="AL52" s="58">
        <v>42052</v>
      </c>
      <c r="AM52" s="61">
        <f t="shared" si="34"/>
        <v>8.5000000000000006E-3</v>
      </c>
      <c r="AO52" s="58">
        <v>41687</v>
      </c>
      <c r="AP52" s="61">
        <f t="shared" si="35"/>
        <v>9.8333333333333328E-3</v>
      </c>
      <c r="AQ52" s="58">
        <v>42052</v>
      </c>
      <c r="AR52" s="61">
        <f t="shared" si="36"/>
        <v>7.8333333333333328E-3</v>
      </c>
      <c r="BD52" s="83" t="s">
        <v>224</v>
      </c>
      <c r="BE52" s="97"/>
      <c r="BF52" s="97"/>
      <c r="BG52" s="72">
        <f>$AF$19</f>
        <v>5.0999999999999997E-2</v>
      </c>
      <c r="BH52" s="72">
        <f>$AG$19</f>
        <v>5.8999999999999997E-2</v>
      </c>
      <c r="BI52" s="78"/>
      <c r="BJ52" s="78"/>
    </row>
    <row r="53" spans="1:62">
      <c r="A53" s="20">
        <v>2007</v>
      </c>
      <c r="B53" s="21">
        <v>0.11600000000000001</v>
      </c>
      <c r="D53" s="14">
        <v>49</v>
      </c>
      <c r="E53" s="12">
        <v>41323</v>
      </c>
      <c r="F53" s="15">
        <f t="shared" si="29"/>
        <v>8.6250000000000007E-3</v>
      </c>
      <c r="H53" s="14">
        <v>49</v>
      </c>
      <c r="I53" s="12">
        <v>41688</v>
      </c>
      <c r="J53" s="15">
        <f t="shared" si="30"/>
        <v>8.1249999999999985E-3</v>
      </c>
      <c r="K53" s="4"/>
      <c r="L53" s="14">
        <v>49</v>
      </c>
      <c r="M53" s="12">
        <v>42053</v>
      </c>
      <c r="N53" s="15">
        <f t="shared" si="25"/>
        <v>6.875E-3</v>
      </c>
      <c r="O53" s="31"/>
      <c r="P53" s="14">
        <v>49</v>
      </c>
      <c r="Q53" s="12">
        <v>41688</v>
      </c>
      <c r="R53" s="15">
        <f t="shared" si="31"/>
        <v>6.3750000000000005E-3</v>
      </c>
      <c r="S53" s="4"/>
      <c r="T53" s="14">
        <v>49</v>
      </c>
      <c r="U53" s="12">
        <v>42053</v>
      </c>
      <c r="V53" s="15">
        <f t="shared" si="27"/>
        <v>6.3750000000000005E-3</v>
      </c>
      <c r="Y53" s="34">
        <f>Y45*Y46*Y47*Y48*Y49*Y50*Y44</f>
        <v>1.8543218887873933</v>
      </c>
      <c r="AA53" s="14">
        <v>49</v>
      </c>
      <c r="AB53" s="12">
        <v>40957</v>
      </c>
      <c r="AC53" s="15">
        <f t="shared" si="28"/>
        <v>9.1249999999999994E-3</v>
      </c>
      <c r="AI53" s="60">
        <v>49</v>
      </c>
      <c r="AJ53" s="58">
        <v>41688</v>
      </c>
      <c r="AK53" s="61">
        <f t="shared" si="33"/>
        <v>8.5000000000000006E-3</v>
      </c>
      <c r="AL53" s="58">
        <v>42053</v>
      </c>
      <c r="AM53" s="61">
        <f t="shared" si="34"/>
        <v>8.5000000000000006E-3</v>
      </c>
      <c r="AO53" s="58">
        <v>41688</v>
      </c>
      <c r="AP53" s="61">
        <f t="shared" si="35"/>
        <v>9.8333333333333328E-3</v>
      </c>
      <c r="AQ53" s="58">
        <v>42053</v>
      </c>
      <c r="AR53" s="61">
        <f t="shared" si="36"/>
        <v>7.8333333333333328E-3</v>
      </c>
    </row>
    <row r="54" spans="1:62">
      <c r="A54" s="20">
        <v>2008</v>
      </c>
      <c r="B54" s="21">
        <v>0.185</v>
      </c>
      <c r="D54" s="14">
        <v>50</v>
      </c>
      <c r="E54" s="12">
        <v>41324</v>
      </c>
      <c r="F54" s="15">
        <f t="shared" si="29"/>
        <v>8.6250000000000007E-3</v>
      </c>
      <c r="H54" s="14">
        <v>50</v>
      </c>
      <c r="I54" s="12">
        <v>41689</v>
      </c>
      <c r="J54" s="15">
        <f t="shared" si="30"/>
        <v>8.1249999999999985E-3</v>
      </c>
      <c r="K54" s="4"/>
      <c r="L54" s="14">
        <v>50</v>
      </c>
      <c r="M54" s="12">
        <v>42054</v>
      </c>
      <c r="N54" s="15">
        <f t="shared" si="25"/>
        <v>6.875E-3</v>
      </c>
      <c r="O54" s="31"/>
      <c r="P54" s="14">
        <v>50</v>
      </c>
      <c r="Q54" s="12">
        <v>41689</v>
      </c>
      <c r="R54" s="15">
        <f t="shared" si="31"/>
        <v>6.3750000000000005E-3</v>
      </c>
      <c r="S54" s="4"/>
      <c r="T54" s="14">
        <v>50</v>
      </c>
      <c r="U54" s="12">
        <v>42054</v>
      </c>
      <c r="V54" s="15">
        <f t="shared" si="27"/>
        <v>6.3750000000000005E-3</v>
      </c>
      <c r="Y54" s="34">
        <f>Y46*Y47*Y48*Y49*Y50*Y51*Y45*Y44</f>
        <v>1.974852811558574</v>
      </c>
      <c r="AA54" s="14">
        <v>50</v>
      </c>
      <c r="AB54" s="12">
        <v>40958</v>
      </c>
      <c r="AC54" s="15">
        <f t="shared" si="28"/>
        <v>9.1249999999999994E-3</v>
      </c>
      <c r="AI54" s="60">
        <v>50</v>
      </c>
      <c r="AJ54" s="58">
        <v>41689</v>
      </c>
      <c r="AK54" s="61">
        <f t="shared" si="33"/>
        <v>8.5000000000000006E-3</v>
      </c>
      <c r="AL54" s="58">
        <v>42054</v>
      </c>
      <c r="AM54" s="61">
        <f t="shared" si="34"/>
        <v>8.5000000000000006E-3</v>
      </c>
      <c r="AO54" s="58">
        <v>41689</v>
      </c>
      <c r="AP54" s="61">
        <f t="shared" si="35"/>
        <v>9.8333333333333328E-3</v>
      </c>
      <c r="AQ54" s="58">
        <v>42054</v>
      </c>
      <c r="AR54" s="61">
        <f t="shared" si="36"/>
        <v>7.8333333333333328E-3</v>
      </c>
    </row>
    <row r="55" spans="1:62">
      <c r="A55" s="20">
        <v>2009</v>
      </c>
      <c r="B55" s="21">
        <v>7.6999999999999999E-2</v>
      </c>
      <c r="D55" s="14">
        <v>51</v>
      </c>
      <c r="E55" s="12">
        <v>41325</v>
      </c>
      <c r="F55" s="15">
        <f t="shared" si="29"/>
        <v>8.6250000000000007E-3</v>
      </c>
      <c r="H55" s="14">
        <v>51</v>
      </c>
      <c r="I55" s="12">
        <v>41690</v>
      </c>
      <c r="J55" s="15">
        <f t="shared" si="30"/>
        <v>8.1249999999999985E-3</v>
      </c>
      <c r="K55" s="4"/>
      <c r="L55" s="14">
        <v>51</v>
      </c>
      <c r="M55" s="12">
        <v>42055</v>
      </c>
      <c r="N55" s="15">
        <f t="shared" si="25"/>
        <v>6.875E-3</v>
      </c>
      <c r="O55" s="31"/>
      <c r="P55" s="14">
        <v>51</v>
      </c>
      <c r="Q55" s="12">
        <v>41690</v>
      </c>
      <c r="R55" s="15">
        <f t="shared" si="31"/>
        <v>6.3750000000000005E-3</v>
      </c>
      <c r="S55" s="4"/>
      <c r="T55" s="14">
        <v>51</v>
      </c>
      <c r="U55" s="12">
        <v>42055</v>
      </c>
      <c r="V55" s="15">
        <f t="shared" si="27"/>
        <v>6.3750000000000005E-3</v>
      </c>
      <c r="AA55" s="14">
        <v>51</v>
      </c>
      <c r="AB55" s="12">
        <v>40959</v>
      </c>
      <c r="AC55" s="15">
        <f t="shared" si="28"/>
        <v>9.1249999999999994E-3</v>
      </c>
      <c r="AI55" s="60">
        <v>51</v>
      </c>
      <c r="AJ55" s="58">
        <v>41690</v>
      </c>
      <c r="AK55" s="61">
        <f t="shared" si="33"/>
        <v>8.5000000000000006E-3</v>
      </c>
      <c r="AL55" s="58">
        <v>42055</v>
      </c>
      <c r="AM55" s="61">
        <f t="shared" si="34"/>
        <v>8.5000000000000006E-3</v>
      </c>
      <c r="AO55" s="58">
        <v>41690</v>
      </c>
      <c r="AP55" s="61">
        <f t="shared" si="35"/>
        <v>9.8333333333333328E-3</v>
      </c>
      <c r="AQ55" s="58">
        <v>42055</v>
      </c>
      <c r="AR55" s="61">
        <f t="shared" si="36"/>
        <v>7.8333333333333328E-3</v>
      </c>
    </row>
    <row r="56" spans="1:62">
      <c r="A56" s="20">
        <v>2010</v>
      </c>
      <c r="B56" s="21">
        <v>8.2000000000000003E-2</v>
      </c>
      <c r="D56" s="14">
        <v>52</v>
      </c>
      <c r="E56" s="12">
        <v>41326</v>
      </c>
      <c r="F56" s="29">
        <f t="shared" si="29"/>
        <v>1.1500000000000002E-2</v>
      </c>
      <c r="H56" s="14">
        <v>52</v>
      </c>
      <c r="I56" s="12">
        <v>41691</v>
      </c>
      <c r="J56" s="29">
        <f t="shared" si="30"/>
        <v>1.0833333333333332E-2</v>
      </c>
      <c r="K56" s="4"/>
      <c r="L56" s="14">
        <v>52</v>
      </c>
      <c r="M56" s="12">
        <v>42056</v>
      </c>
      <c r="N56" s="29">
        <f t="shared" si="25"/>
        <v>9.1666666666666667E-3</v>
      </c>
      <c r="O56" s="31"/>
      <c r="P56" s="14">
        <v>52</v>
      </c>
      <c r="Q56" s="12">
        <v>41691</v>
      </c>
      <c r="R56" s="29">
        <f t="shared" si="31"/>
        <v>8.5000000000000006E-3</v>
      </c>
      <c r="S56" s="4"/>
      <c r="T56" s="14">
        <v>52</v>
      </c>
      <c r="U56" s="12">
        <v>42056</v>
      </c>
      <c r="V56" s="29">
        <f t="shared" si="27"/>
        <v>8.5000000000000006E-3</v>
      </c>
      <c r="AA56" s="30">
        <v>52</v>
      </c>
      <c r="AB56" s="28">
        <v>40960</v>
      </c>
      <c r="AC56" s="29">
        <f t="shared" si="28"/>
        <v>1.2166666666666666E-2</v>
      </c>
      <c r="AI56" s="60">
        <v>52</v>
      </c>
      <c r="AJ56" s="58">
        <v>41691</v>
      </c>
      <c r="AK56" s="61">
        <f t="shared" si="33"/>
        <v>8.5000000000000006E-3</v>
      </c>
      <c r="AL56" s="58">
        <v>42056</v>
      </c>
      <c r="AM56" s="61">
        <f t="shared" si="34"/>
        <v>8.5000000000000006E-3</v>
      </c>
      <c r="AO56" s="58">
        <v>41691</v>
      </c>
      <c r="AP56" s="61">
        <f t="shared" si="35"/>
        <v>9.8333333333333328E-3</v>
      </c>
      <c r="AQ56" s="58">
        <v>42056</v>
      </c>
      <c r="AR56" s="61">
        <f t="shared" si="36"/>
        <v>7.8333333333333328E-3</v>
      </c>
    </row>
    <row r="57" spans="1:62">
      <c r="A57" s="20">
        <v>2011</v>
      </c>
      <c r="B57" s="21">
        <v>8.6999999999999994E-2</v>
      </c>
      <c r="D57" s="14">
        <v>53</v>
      </c>
      <c r="E57" s="12">
        <v>41327</v>
      </c>
      <c r="F57" s="15">
        <f t="shared" si="29"/>
        <v>1.1500000000000002E-2</v>
      </c>
      <c r="H57" s="14">
        <v>53</v>
      </c>
      <c r="I57" s="12">
        <v>41692</v>
      </c>
      <c r="J57" s="15">
        <f t="shared" si="30"/>
        <v>1.0833333333333332E-2</v>
      </c>
      <c r="K57" s="4"/>
      <c r="L57" s="14">
        <v>53</v>
      </c>
      <c r="M57" s="12">
        <v>42057</v>
      </c>
      <c r="N57" s="15">
        <f t="shared" si="25"/>
        <v>9.1666666666666667E-3</v>
      </c>
      <c r="O57" s="31"/>
      <c r="P57" s="14">
        <v>53</v>
      </c>
      <c r="Q57" s="12">
        <v>41692</v>
      </c>
      <c r="R57" s="15">
        <f t="shared" si="31"/>
        <v>8.5000000000000006E-3</v>
      </c>
      <c r="S57" s="4"/>
      <c r="T57" s="14">
        <v>53</v>
      </c>
      <c r="U57" s="12">
        <v>42057</v>
      </c>
      <c r="V57" s="15">
        <f t="shared" si="27"/>
        <v>8.5000000000000006E-3</v>
      </c>
      <c r="AA57" s="14">
        <v>53</v>
      </c>
      <c r="AB57" s="12">
        <v>40961</v>
      </c>
      <c r="AC57" s="15">
        <f t="shared" si="28"/>
        <v>1.2166666666666666E-2</v>
      </c>
      <c r="AI57" s="60">
        <v>53</v>
      </c>
      <c r="AJ57" s="58">
        <v>41692</v>
      </c>
      <c r="AK57" s="61">
        <f t="shared" si="33"/>
        <v>8.5000000000000006E-3</v>
      </c>
      <c r="AL57" s="58">
        <v>42057</v>
      </c>
      <c r="AM57" s="61">
        <f t="shared" si="34"/>
        <v>8.5000000000000006E-3</v>
      </c>
      <c r="AO57" s="58">
        <v>41692</v>
      </c>
      <c r="AP57" s="61">
        <f t="shared" si="35"/>
        <v>9.8333333333333328E-3</v>
      </c>
      <c r="AQ57" s="58">
        <v>42057</v>
      </c>
      <c r="AR57" s="61">
        <f t="shared" si="36"/>
        <v>7.8333333333333328E-3</v>
      </c>
    </row>
    <row r="58" spans="1:62">
      <c r="A58" s="20">
        <v>2012</v>
      </c>
      <c r="B58" s="21">
        <v>7.6999999999999999E-2</v>
      </c>
      <c r="C58" s="4" t="s">
        <v>103</v>
      </c>
      <c r="D58" s="14">
        <v>54</v>
      </c>
      <c r="E58" s="12">
        <v>41328</v>
      </c>
      <c r="F58" s="15">
        <f t="shared" si="29"/>
        <v>1.1500000000000002E-2</v>
      </c>
      <c r="H58" s="14">
        <v>54</v>
      </c>
      <c r="I58" s="12">
        <v>41693</v>
      </c>
      <c r="J58" s="15">
        <f t="shared" si="30"/>
        <v>1.0833333333333332E-2</v>
      </c>
      <c r="K58" s="4"/>
      <c r="L58" s="14">
        <v>54</v>
      </c>
      <c r="M58" s="12">
        <v>42058</v>
      </c>
      <c r="N58" s="15">
        <f t="shared" si="25"/>
        <v>9.1666666666666667E-3</v>
      </c>
      <c r="O58" s="31"/>
      <c r="P58" s="14">
        <v>54</v>
      </c>
      <c r="Q58" s="12">
        <v>41693</v>
      </c>
      <c r="R58" s="15">
        <f t="shared" si="31"/>
        <v>8.5000000000000006E-3</v>
      </c>
      <c r="S58" s="4"/>
      <c r="T58" s="14">
        <v>54</v>
      </c>
      <c r="U58" s="12">
        <v>42058</v>
      </c>
      <c r="V58" s="15">
        <f t="shared" si="27"/>
        <v>8.5000000000000006E-3</v>
      </c>
      <c r="AA58" s="14">
        <v>54</v>
      </c>
      <c r="AB58" s="12">
        <v>40962</v>
      </c>
      <c r="AC58" s="15">
        <f t="shared" si="28"/>
        <v>1.2166666666666666E-2</v>
      </c>
      <c r="AI58" s="60">
        <v>54</v>
      </c>
      <c r="AJ58" s="58">
        <v>41693</v>
      </c>
      <c r="AK58" s="61">
        <f t="shared" si="33"/>
        <v>8.5000000000000006E-3</v>
      </c>
      <c r="AL58" s="58">
        <v>42058</v>
      </c>
      <c r="AM58" s="61">
        <f t="shared" si="34"/>
        <v>8.5000000000000006E-3</v>
      </c>
      <c r="AO58" s="58">
        <v>41693</v>
      </c>
      <c r="AP58" s="61">
        <f t="shared" si="35"/>
        <v>9.8333333333333328E-3</v>
      </c>
      <c r="AQ58" s="58">
        <v>42058</v>
      </c>
      <c r="AR58" s="61">
        <f t="shared" si="36"/>
        <v>7.8333333333333328E-3</v>
      </c>
    </row>
    <row r="59" spans="1:62">
      <c r="A59" s="20">
        <v>2013</v>
      </c>
      <c r="B59" s="21">
        <v>7.1999999999999995E-2</v>
      </c>
      <c r="C59" s="4" t="s">
        <v>104</v>
      </c>
      <c r="D59" s="14">
        <v>55</v>
      </c>
      <c r="E59" s="12">
        <v>41329</v>
      </c>
      <c r="F59" s="15">
        <f t="shared" si="29"/>
        <v>1.1500000000000002E-2</v>
      </c>
      <c r="H59" s="14">
        <v>55</v>
      </c>
      <c r="I59" s="12">
        <v>41694</v>
      </c>
      <c r="J59" s="15">
        <f t="shared" si="30"/>
        <v>1.0833333333333332E-2</v>
      </c>
      <c r="K59" s="4"/>
      <c r="L59" s="14">
        <v>55</v>
      </c>
      <c r="M59" s="12">
        <v>42059</v>
      </c>
      <c r="N59" s="15">
        <f t="shared" si="25"/>
        <v>9.1666666666666667E-3</v>
      </c>
      <c r="O59" s="31"/>
      <c r="P59" s="14">
        <v>55</v>
      </c>
      <c r="Q59" s="12">
        <v>41694</v>
      </c>
      <c r="R59" s="15">
        <f t="shared" si="31"/>
        <v>8.5000000000000006E-3</v>
      </c>
      <c r="S59" s="4"/>
      <c r="T59" s="14">
        <v>55</v>
      </c>
      <c r="U59" s="12">
        <v>42059</v>
      </c>
      <c r="V59" s="15">
        <f t="shared" si="27"/>
        <v>8.5000000000000006E-3</v>
      </c>
      <c r="AA59" s="14">
        <v>55</v>
      </c>
      <c r="AB59" s="12">
        <v>40963</v>
      </c>
      <c r="AC59" s="15">
        <f t="shared" si="28"/>
        <v>1.2166666666666666E-2</v>
      </c>
      <c r="AI59" s="60">
        <v>55</v>
      </c>
      <c r="AJ59" s="58">
        <v>41694</v>
      </c>
      <c r="AK59" s="61">
        <f t="shared" si="33"/>
        <v>8.5000000000000006E-3</v>
      </c>
      <c r="AL59" s="58">
        <v>42059</v>
      </c>
      <c r="AM59" s="61">
        <f t="shared" si="34"/>
        <v>8.5000000000000006E-3</v>
      </c>
      <c r="AO59" s="58">
        <v>41694</v>
      </c>
      <c r="AP59" s="61">
        <f t="shared" si="35"/>
        <v>9.8333333333333328E-3</v>
      </c>
      <c r="AQ59" s="58">
        <v>42059</v>
      </c>
      <c r="AR59" s="61">
        <f t="shared" si="36"/>
        <v>7.8333333333333328E-3</v>
      </c>
    </row>
    <row r="60" spans="1:62">
      <c r="A60" s="20">
        <v>2014</v>
      </c>
      <c r="B60" s="21">
        <v>7.0000000000000007E-2</v>
      </c>
      <c r="C60" s="4" t="s">
        <v>104</v>
      </c>
      <c r="D60" s="14">
        <v>56</v>
      </c>
      <c r="E60" s="12">
        <v>41330</v>
      </c>
      <c r="F60" s="15">
        <f t="shared" si="29"/>
        <v>1.1500000000000002E-2</v>
      </c>
      <c r="H60" s="14">
        <v>56</v>
      </c>
      <c r="I60" s="12">
        <v>41695</v>
      </c>
      <c r="J60" s="15">
        <f t="shared" si="30"/>
        <v>1.0833333333333332E-2</v>
      </c>
      <c r="K60" s="4"/>
      <c r="L60" s="14">
        <v>56</v>
      </c>
      <c r="M60" s="12">
        <v>42060</v>
      </c>
      <c r="N60" s="15">
        <f t="shared" si="25"/>
        <v>9.1666666666666667E-3</v>
      </c>
      <c r="O60" s="31"/>
      <c r="P60" s="14">
        <v>56</v>
      </c>
      <c r="Q60" s="12">
        <v>41695</v>
      </c>
      <c r="R60" s="15">
        <f t="shared" si="31"/>
        <v>8.5000000000000006E-3</v>
      </c>
      <c r="S60" s="4"/>
      <c r="T60" s="14">
        <v>56</v>
      </c>
      <c r="U60" s="12">
        <v>42060</v>
      </c>
      <c r="V60" s="15">
        <f t="shared" si="27"/>
        <v>8.5000000000000006E-3</v>
      </c>
      <c r="AA60" s="14">
        <v>56</v>
      </c>
      <c r="AB60" s="12">
        <v>40964</v>
      </c>
      <c r="AC60" s="15">
        <f t="shared" si="28"/>
        <v>1.2166666666666666E-2</v>
      </c>
      <c r="AI60" s="60">
        <v>56</v>
      </c>
      <c r="AJ60" s="58">
        <v>41695</v>
      </c>
      <c r="AK60" s="61">
        <f t="shared" si="33"/>
        <v>8.5000000000000006E-3</v>
      </c>
      <c r="AL60" s="58">
        <v>42060</v>
      </c>
      <c r="AM60" s="61">
        <f t="shared" si="34"/>
        <v>8.5000000000000006E-3</v>
      </c>
      <c r="AO60" s="58">
        <v>41695</v>
      </c>
      <c r="AP60" s="61">
        <f t="shared" si="35"/>
        <v>9.8333333333333328E-3</v>
      </c>
      <c r="AQ60" s="58">
        <v>42060</v>
      </c>
      <c r="AR60" s="61">
        <f t="shared" si="36"/>
        <v>7.8333333333333328E-3</v>
      </c>
    </row>
    <row r="61" spans="1:62">
      <c r="A61" s="20">
        <v>2015</v>
      </c>
      <c r="B61" s="21">
        <v>6.5000000000000002E-2</v>
      </c>
      <c r="C61" s="4" t="s">
        <v>104</v>
      </c>
      <c r="D61" s="14">
        <v>57</v>
      </c>
      <c r="E61" s="12">
        <v>41331</v>
      </c>
      <c r="F61" s="15">
        <f t="shared" si="29"/>
        <v>1.1500000000000002E-2</v>
      </c>
      <c r="H61" s="14">
        <v>57</v>
      </c>
      <c r="I61" s="12">
        <v>41696</v>
      </c>
      <c r="J61" s="15">
        <f t="shared" si="30"/>
        <v>1.0833333333333332E-2</v>
      </c>
      <c r="K61" s="4"/>
      <c r="L61" s="14">
        <v>57</v>
      </c>
      <c r="M61" s="12">
        <v>42061</v>
      </c>
      <c r="N61" s="15">
        <f t="shared" si="25"/>
        <v>9.1666666666666667E-3</v>
      </c>
      <c r="O61" s="31"/>
      <c r="P61" s="14">
        <v>57</v>
      </c>
      <c r="Q61" s="12">
        <v>41696</v>
      </c>
      <c r="R61" s="15">
        <f t="shared" si="31"/>
        <v>8.5000000000000006E-3</v>
      </c>
      <c r="S61" s="4"/>
      <c r="T61" s="14">
        <v>57</v>
      </c>
      <c r="U61" s="12">
        <v>42061</v>
      </c>
      <c r="V61" s="15">
        <f t="shared" si="27"/>
        <v>8.5000000000000006E-3</v>
      </c>
      <c r="AA61" s="14">
        <v>57</v>
      </c>
      <c r="AB61" s="12">
        <v>40965</v>
      </c>
      <c r="AC61" s="15">
        <f t="shared" si="28"/>
        <v>1.2166666666666666E-2</v>
      </c>
      <c r="AI61" s="60">
        <v>57</v>
      </c>
      <c r="AJ61" s="58">
        <v>41696</v>
      </c>
      <c r="AK61" s="61">
        <f t="shared" si="33"/>
        <v>8.5000000000000006E-3</v>
      </c>
      <c r="AL61" s="58">
        <v>42061</v>
      </c>
      <c r="AM61" s="61">
        <f t="shared" si="34"/>
        <v>8.5000000000000006E-3</v>
      </c>
      <c r="AO61" s="58">
        <v>41696</v>
      </c>
      <c r="AP61" s="61">
        <f t="shared" si="35"/>
        <v>9.8333333333333328E-3</v>
      </c>
      <c r="AQ61" s="58">
        <v>42061</v>
      </c>
      <c r="AR61" s="61">
        <f t="shared" si="36"/>
        <v>7.8333333333333328E-3</v>
      </c>
    </row>
    <row r="62" spans="1:62">
      <c r="D62" s="14">
        <v>58</v>
      </c>
      <c r="E62" s="12">
        <v>41332</v>
      </c>
      <c r="F62" s="15">
        <f t="shared" si="29"/>
        <v>1.1500000000000002E-2</v>
      </c>
      <c r="H62" s="14">
        <v>58</v>
      </c>
      <c r="I62" s="12">
        <v>41697</v>
      </c>
      <c r="J62" s="15">
        <f t="shared" si="30"/>
        <v>1.0833333333333332E-2</v>
      </c>
      <c r="K62" s="4"/>
      <c r="L62" s="14">
        <v>58</v>
      </c>
      <c r="M62" s="12">
        <v>42062</v>
      </c>
      <c r="N62" s="15">
        <f t="shared" si="25"/>
        <v>9.1666666666666667E-3</v>
      </c>
      <c r="O62" s="31"/>
      <c r="P62" s="14">
        <v>58</v>
      </c>
      <c r="Q62" s="12">
        <v>41697</v>
      </c>
      <c r="R62" s="15">
        <f t="shared" si="31"/>
        <v>8.5000000000000006E-3</v>
      </c>
      <c r="S62" s="4"/>
      <c r="T62" s="14">
        <v>58</v>
      </c>
      <c r="U62" s="12">
        <v>42062</v>
      </c>
      <c r="V62" s="15">
        <f t="shared" si="27"/>
        <v>8.5000000000000006E-3</v>
      </c>
      <c r="AA62" s="14">
        <v>58</v>
      </c>
      <c r="AB62" s="12">
        <v>40966</v>
      </c>
      <c r="AC62" s="15">
        <f t="shared" si="28"/>
        <v>1.2166666666666666E-2</v>
      </c>
      <c r="AI62" s="60">
        <v>58</v>
      </c>
      <c r="AJ62" s="58">
        <v>41697</v>
      </c>
      <c r="AK62" s="61">
        <f t="shared" si="33"/>
        <v>8.5000000000000006E-3</v>
      </c>
      <c r="AL62" s="58">
        <v>42062</v>
      </c>
      <c r="AM62" s="61">
        <f t="shared" si="34"/>
        <v>8.5000000000000006E-3</v>
      </c>
      <c r="AO62" s="58">
        <v>41697</v>
      </c>
      <c r="AP62" s="61">
        <f t="shared" si="35"/>
        <v>9.8333333333333328E-3</v>
      </c>
      <c r="AQ62" s="58">
        <v>42062</v>
      </c>
      <c r="AR62" s="61">
        <f t="shared" si="36"/>
        <v>7.8333333333333328E-3</v>
      </c>
    </row>
    <row r="63" spans="1:62">
      <c r="D63" s="14">
        <v>59</v>
      </c>
      <c r="E63" s="12">
        <v>41333</v>
      </c>
      <c r="F63" s="15">
        <f t="shared" si="29"/>
        <v>1.1500000000000002E-2</v>
      </c>
      <c r="H63" s="14">
        <v>59</v>
      </c>
      <c r="I63" s="12">
        <v>41698</v>
      </c>
      <c r="J63" s="15">
        <f t="shared" si="30"/>
        <v>1.0833333333333332E-2</v>
      </c>
      <c r="K63" s="4"/>
      <c r="L63" s="14">
        <v>59</v>
      </c>
      <c r="M63" s="12">
        <v>42063</v>
      </c>
      <c r="N63" s="15">
        <f t="shared" si="25"/>
        <v>9.1666666666666667E-3</v>
      </c>
      <c r="O63" s="31"/>
      <c r="P63" s="14">
        <v>59</v>
      </c>
      <c r="Q63" s="12">
        <v>41698</v>
      </c>
      <c r="R63" s="15">
        <f t="shared" si="31"/>
        <v>8.5000000000000006E-3</v>
      </c>
      <c r="S63" s="4"/>
      <c r="T63" s="14">
        <v>59</v>
      </c>
      <c r="U63" s="12">
        <v>42063</v>
      </c>
      <c r="V63" s="15">
        <f t="shared" si="27"/>
        <v>8.5000000000000006E-3</v>
      </c>
      <c r="AA63" s="14">
        <v>59</v>
      </c>
      <c r="AB63" s="12">
        <v>40967</v>
      </c>
      <c r="AC63" s="15">
        <f t="shared" si="28"/>
        <v>1.2166666666666666E-2</v>
      </c>
      <c r="AI63" s="60">
        <v>59</v>
      </c>
      <c r="AJ63" s="58">
        <v>41698</v>
      </c>
      <c r="AK63" s="61">
        <f t="shared" si="33"/>
        <v>8.5000000000000006E-3</v>
      </c>
      <c r="AL63" s="58">
        <v>42063</v>
      </c>
      <c r="AM63" s="61">
        <f t="shared" si="34"/>
        <v>8.5000000000000006E-3</v>
      </c>
      <c r="AO63" s="58">
        <v>41698</v>
      </c>
      <c r="AP63" s="61">
        <f t="shared" si="35"/>
        <v>9.8333333333333328E-3</v>
      </c>
      <c r="AQ63" s="58">
        <v>42063</v>
      </c>
      <c r="AR63" s="61">
        <f t="shared" si="36"/>
        <v>7.8333333333333328E-3</v>
      </c>
    </row>
    <row r="64" spans="1:62">
      <c r="D64" s="14">
        <v>60</v>
      </c>
      <c r="E64" s="12">
        <v>41334</v>
      </c>
      <c r="F64" s="29">
        <f t="shared" ref="F64:F83" si="40">F$36+F$4/D$4/100</f>
        <v>1.4375000000000002E-2</v>
      </c>
      <c r="H64" s="14">
        <v>60</v>
      </c>
      <c r="I64" s="12">
        <v>41699</v>
      </c>
      <c r="J64" s="29">
        <f t="shared" ref="J64:J83" si="41">J$36+J$4/H$4/100</f>
        <v>1.3541666666666664E-2</v>
      </c>
      <c r="K64" s="4"/>
      <c r="L64" s="14">
        <v>60</v>
      </c>
      <c r="M64" s="12">
        <v>42064</v>
      </c>
      <c r="N64" s="29">
        <f>N$36+N$4/L$4/100</f>
        <v>1.1458333333333334E-2</v>
      </c>
      <c r="O64" s="31"/>
      <c r="P64" s="14">
        <v>60</v>
      </c>
      <c r="Q64" s="12">
        <v>41699</v>
      </c>
      <c r="R64" s="29">
        <f t="shared" ref="R64:R83" si="42">R$36+R$4/P$4/100</f>
        <v>1.0625000000000001E-2</v>
      </c>
      <c r="S64" s="4"/>
      <c r="T64" s="14">
        <v>60</v>
      </c>
      <c r="U64" s="12">
        <v>42064</v>
      </c>
      <c r="V64" s="29">
        <f>V$36+V$4/T$4/100</f>
        <v>1.0625000000000001E-2</v>
      </c>
      <c r="AA64" s="14">
        <v>60</v>
      </c>
      <c r="AB64" s="12">
        <v>40968</v>
      </c>
      <c r="AC64" s="15">
        <f t="shared" si="28"/>
        <v>1.2166666666666666E-2</v>
      </c>
      <c r="AI64" s="60">
        <v>60</v>
      </c>
      <c r="AJ64" s="63">
        <v>41699</v>
      </c>
      <c r="AK64" s="61">
        <f t="shared" si="33"/>
        <v>8.5000000000000006E-3</v>
      </c>
      <c r="AL64" s="58">
        <v>42064</v>
      </c>
      <c r="AM64" s="61">
        <f t="shared" si="34"/>
        <v>8.5000000000000006E-3</v>
      </c>
      <c r="AO64" s="63">
        <v>41699</v>
      </c>
      <c r="AP64" s="61">
        <f t="shared" si="35"/>
        <v>9.8333333333333328E-3</v>
      </c>
      <c r="AQ64" s="58">
        <v>42064</v>
      </c>
      <c r="AR64" s="61">
        <f t="shared" si="36"/>
        <v>7.8333333333333328E-3</v>
      </c>
    </row>
    <row r="65" spans="4:44">
      <c r="D65" s="14">
        <v>61</v>
      </c>
      <c r="E65" s="12">
        <v>41335</v>
      </c>
      <c r="F65" s="15">
        <f t="shared" si="40"/>
        <v>1.4375000000000002E-2</v>
      </c>
      <c r="H65" s="14">
        <v>61</v>
      </c>
      <c r="I65" s="12">
        <v>41700</v>
      </c>
      <c r="J65" s="15">
        <f t="shared" si="41"/>
        <v>1.3541666666666664E-2</v>
      </c>
      <c r="K65" s="4"/>
      <c r="L65" s="14">
        <v>61</v>
      </c>
      <c r="M65" s="12">
        <v>42065</v>
      </c>
      <c r="N65" s="15">
        <f t="shared" ref="N65:N83" si="43">N$36+N$4/L$4/100</f>
        <v>1.1458333333333334E-2</v>
      </c>
      <c r="O65" s="31"/>
      <c r="P65" s="14">
        <v>61</v>
      </c>
      <c r="Q65" s="12">
        <v>41700</v>
      </c>
      <c r="R65" s="15">
        <f t="shared" si="42"/>
        <v>1.0625000000000001E-2</v>
      </c>
      <c r="S65" s="4"/>
      <c r="T65" s="14">
        <v>61</v>
      </c>
      <c r="U65" s="12">
        <v>42065</v>
      </c>
      <c r="V65" s="15">
        <f t="shared" ref="V65:V83" si="44">V$36+V$4/T$4/100</f>
        <v>1.0625000000000001E-2</v>
      </c>
      <c r="AA65" s="30">
        <v>61</v>
      </c>
      <c r="AB65" s="28">
        <v>40969</v>
      </c>
      <c r="AC65" s="29">
        <f t="shared" ref="AC65:AC84" si="45">AC$36+AC$4/AA$4/100</f>
        <v>1.5208333333333332E-2</v>
      </c>
      <c r="AI65" s="60">
        <v>61</v>
      </c>
      <c r="AJ65" s="58">
        <v>41700</v>
      </c>
      <c r="AK65" s="61">
        <f t="shared" si="33"/>
        <v>8.5000000000000006E-3</v>
      </c>
      <c r="AL65" s="58">
        <v>42065</v>
      </c>
      <c r="AM65" s="61">
        <f t="shared" si="34"/>
        <v>8.5000000000000006E-3</v>
      </c>
      <c r="AO65" s="58">
        <v>41700</v>
      </c>
      <c r="AP65" s="61">
        <f t="shared" si="35"/>
        <v>9.8333333333333328E-3</v>
      </c>
      <c r="AQ65" s="58">
        <v>42065</v>
      </c>
      <c r="AR65" s="61">
        <f t="shared" si="36"/>
        <v>7.8333333333333328E-3</v>
      </c>
    </row>
    <row r="66" spans="4:44">
      <c r="D66" s="14">
        <v>62</v>
      </c>
      <c r="E66" s="12">
        <v>41336</v>
      </c>
      <c r="F66" s="15">
        <f t="shared" si="40"/>
        <v>1.4375000000000002E-2</v>
      </c>
      <c r="H66" s="14">
        <v>62</v>
      </c>
      <c r="I66" s="12">
        <v>41701</v>
      </c>
      <c r="J66" s="15">
        <f t="shared" si="41"/>
        <v>1.3541666666666664E-2</v>
      </c>
      <c r="K66" s="4"/>
      <c r="L66" s="14">
        <v>62</v>
      </c>
      <c r="M66" s="12">
        <v>42066</v>
      </c>
      <c r="N66" s="15">
        <f t="shared" si="43"/>
        <v>1.1458333333333334E-2</v>
      </c>
      <c r="O66" s="31"/>
      <c r="P66" s="14">
        <v>62</v>
      </c>
      <c r="Q66" s="12">
        <v>41701</v>
      </c>
      <c r="R66" s="15">
        <f t="shared" si="42"/>
        <v>1.0625000000000001E-2</v>
      </c>
      <c r="S66" s="4"/>
      <c r="T66" s="14">
        <v>62</v>
      </c>
      <c r="U66" s="12">
        <v>42066</v>
      </c>
      <c r="V66" s="15">
        <f t="shared" si="44"/>
        <v>1.0625000000000001E-2</v>
      </c>
      <c r="AA66" s="14">
        <v>62</v>
      </c>
      <c r="AB66" s="12">
        <v>40970</v>
      </c>
      <c r="AC66" s="15">
        <f t="shared" si="45"/>
        <v>1.5208333333333332E-2</v>
      </c>
      <c r="AI66" s="60">
        <v>62</v>
      </c>
      <c r="AJ66" s="58">
        <v>41701</v>
      </c>
      <c r="AK66" s="61">
        <f t="shared" si="33"/>
        <v>8.5000000000000006E-3</v>
      </c>
      <c r="AL66" s="58">
        <v>42066</v>
      </c>
      <c r="AM66" s="61">
        <f t="shared" si="34"/>
        <v>8.5000000000000006E-3</v>
      </c>
      <c r="AO66" s="58">
        <v>41701</v>
      </c>
      <c r="AP66" s="61">
        <f t="shared" si="35"/>
        <v>9.8333333333333328E-3</v>
      </c>
      <c r="AQ66" s="58">
        <v>42066</v>
      </c>
      <c r="AR66" s="61">
        <f t="shared" si="36"/>
        <v>7.8333333333333328E-3</v>
      </c>
    </row>
    <row r="67" spans="4:44">
      <c r="D67" s="14">
        <v>63</v>
      </c>
      <c r="E67" s="12">
        <v>41337</v>
      </c>
      <c r="F67" s="15">
        <f t="shared" si="40"/>
        <v>1.4375000000000002E-2</v>
      </c>
      <c r="H67" s="14">
        <v>63</v>
      </c>
      <c r="I67" s="12">
        <v>41702</v>
      </c>
      <c r="J67" s="15">
        <f t="shared" si="41"/>
        <v>1.3541666666666664E-2</v>
      </c>
      <c r="K67" s="4"/>
      <c r="L67" s="14">
        <v>63</v>
      </c>
      <c r="M67" s="12">
        <v>42067</v>
      </c>
      <c r="N67" s="15">
        <f t="shared" si="43"/>
        <v>1.1458333333333334E-2</v>
      </c>
      <c r="O67" s="31"/>
      <c r="P67" s="14">
        <v>63</v>
      </c>
      <c r="Q67" s="12">
        <v>41702</v>
      </c>
      <c r="R67" s="15">
        <f t="shared" si="42"/>
        <v>1.0625000000000001E-2</v>
      </c>
      <c r="S67" s="4"/>
      <c r="T67" s="14">
        <v>63</v>
      </c>
      <c r="U67" s="12">
        <v>42067</v>
      </c>
      <c r="V67" s="15">
        <f t="shared" si="44"/>
        <v>1.0625000000000001E-2</v>
      </c>
      <c r="AA67" s="14">
        <v>63</v>
      </c>
      <c r="AB67" s="12">
        <v>40971</v>
      </c>
      <c r="AC67" s="15">
        <f t="shared" si="45"/>
        <v>1.5208333333333332E-2</v>
      </c>
      <c r="AI67" s="60">
        <v>63</v>
      </c>
      <c r="AJ67" s="58">
        <v>41702</v>
      </c>
      <c r="AK67" s="61">
        <f t="shared" si="33"/>
        <v>8.5000000000000006E-3</v>
      </c>
      <c r="AL67" s="58">
        <v>42067</v>
      </c>
      <c r="AM67" s="61">
        <f t="shared" si="34"/>
        <v>8.5000000000000006E-3</v>
      </c>
      <c r="AO67" s="58">
        <v>41702</v>
      </c>
      <c r="AP67" s="61">
        <f t="shared" si="35"/>
        <v>9.8333333333333328E-3</v>
      </c>
      <c r="AQ67" s="58">
        <v>42067</v>
      </c>
      <c r="AR67" s="61">
        <f t="shared" si="36"/>
        <v>7.8333333333333328E-3</v>
      </c>
    </row>
    <row r="68" spans="4:44">
      <c r="D68" s="14">
        <v>64</v>
      </c>
      <c r="E68" s="12">
        <v>41338</v>
      </c>
      <c r="F68" s="15">
        <f t="shared" si="40"/>
        <v>1.4375000000000002E-2</v>
      </c>
      <c r="H68" s="14">
        <v>64</v>
      </c>
      <c r="I68" s="12">
        <v>41703</v>
      </c>
      <c r="J68" s="15">
        <f t="shared" si="41"/>
        <v>1.3541666666666664E-2</v>
      </c>
      <c r="K68" s="4"/>
      <c r="L68" s="14">
        <v>64</v>
      </c>
      <c r="M68" s="12">
        <v>42068</v>
      </c>
      <c r="N68" s="15">
        <f t="shared" si="43"/>
        <v>1.1458333333333334E-2</v>
      </c>
      <c r="O68" s="31"/>
      <c r="P68" s="14">
        <v>64</v>
      </c>
      <c r="Q68" s="12">
        <v>41703</v>
      </c>
      <c r="R68" s="15">
        <f t="shared" si="42"/>
        <v>1.0625000000000001E-2</v>
      </c>
      <c r="S68" s="4"/>
      <c r="T68" s="14">
        <v>64</v>
      </c>
      <c r="U68" s="12">
        <v>42068</v>
      </c>
      <c r="V68" s="15">
        <f t="shared" si="44"/>
        <v>1.0625000000000001E-2</v>
      </c>
      <c r="AA68" s="14">
        <v>64</v>
      </c>
      <c r="AB68" s="12">
        <v>40972</v>
      </c>
      <c r="AC68" s="15">
        <f t="shared" si="45"/>
        <v>1.5208333333333332E-2</v>
      </c>
      <c r="AI68" s="60">
        <v>64</v>
      </c>
      <c r="AJ68" s="58">
        <v>41703</v>
      </c>
      <c r="AK68" s="61">
        <f t="shared" si="33"/>
        <v>8.5000000000000006E-3</v>
      </c>
      <c r="AL68" s="58">
        <v>42068</v>
      </c>
      <c r="AM68" s="61">
        <f t="shared" si="34"/>
        <v>8.5000000000000006E-3</v>
      </c>
      <c r="AO68" s="58">
        <v>41703</v>
      </c>
      <c r="AP68" s="61">
        <f t="shared" si="35"/>
        <v>9.8333333333333328E-3</v>
      </c>
      <c r="AQ68" s="58">
        <v>42068</v>
      </c>
      <c r="AR68" s="61">
        <f t="shared" si="36"/>
        <v>7.8333333333333328E-3</v>
      </c>
    </row>
    <row r="69" spans="4:44">
      <c r="D69" s="14">
        <v>65</v>
      </c>
      <c r="E69" s="12">
        <v>41339</v>
      </c>
      <c r="F69" s="15">
        <f t="shared" si="40"/>
        <v>1.4375000000000002E-2</v>
      </c>
      <c r="H69" s="14">
        <v>65</v>
      </c>
      <c r="I69" s="12">
        <v>41704</v>
      </c>
      <c r="J69" s="15">
        <f t="shared" si="41"/>
        <v>1.3541666666666664E-2</v>
      </c>
      <c r="K69" s="4"/>
      <c r="L69" s="14">
        <v>65</v>
      </c>
      <c r="M69" s="12">
        <v>42069</v>
      </c>
      <c r="N69" s="15">
        <f t="shared" si="43"/>
        <v>1.1458333333333334E-2</v>
      </c>
      <c r="O69" s="31"/>
      <c r="P69" s="14">
        <v>65</v>
      </c>
      <c r="Q69" s="12">
        <v>41704</v>
      </c>
      <c r="R69" s="15">
        <f t="shared" si="42"/>
        <v>1.0625000000000001E-2</v>
      </c>
      <c r="S69" s="4"/>
      <c r="T69" s="14">
        <v>65</v>
      </c>
      <c r="U69" s="12">
        <v>42069</v>
      </c>
      <c r="V69" s="15">
        <f t="shared" si="44"/>
        <v>1.0625000000000001E-2</v>
      </c>
      <c r="AA69" s="14">
        <v>65</v>
      </c>
      <c r="AB69" s="12">
        <v>40973</v>
      </c>
      <c r="AC69" s="15">
        <f t="shared" si="45"/>
        <v>1.5208333333333332E-2</v>
      </c>
      <c r="AI69" s="60">
        <v>65</v>
      </c>
      <c r="AJ69" s="58">
        <v>41704</v>
      </c>
      <c r="AK69" s="64">
        <f t="shared" ref="AK69:AK99" si="46">AK$68+AK$4/AI$4/100</f>
        <v>1.2750000000000001E-2</v>
      </c>
      <c r="AL69" s="58">
        <v>42069</v>
      </c>
      <c r="AM69" s="64">
        <f t="shared" ref="AM69:AM99" si="47">AM$68+AM$4/AI$4/100</f>
        <v>1.2750000000000001E-2</v>
      </c>
      <c r="AO69" s="58">
        <v>41704</v>
      </c>
      <c r="AP69" s="64">
        <f t="shared" ref="AP69:AP99" si="48">AP$68+AP$4/AI$4/100</f>
        <v>1.4749999999999999E-2</v>
      </c>
      <c r="AQ69" s="58">
        <v>42069</v>
      </c>
      <c r="AR69" s="64">
        <f t="shared" ref="AR69:AR99" si="49">AR$68+AR$4/AI$4/100</f>
        <v>1.175E-2</v>
      </c>
    </row>
    <row r="70" spans="4:44">
      <c r="D70" s="14">
        <v>66</v>
      </c>
      <c r="E70" s="12">
        <v>41340</v>
      </c>
      <c r="F70" s="15">
        <f t="shared" si="40"/>
        <v>1.4375000000000002E-2</v>
      </c>
      <c r="H70" s="14">
        <v>66</v>
      </c>
      <c r="I70" s="12">
        <v>41705</v>
      </c>
      <c r="J70" s="15">
        <f t="shared" si="41"/>
        <v>1.3541666666666664E-2</v>
      </c>
      <c r="K70" s="4"/>
      <c r="L70" s="14">
        <v>66</v>
      </c>
      <c r="M70" s="12">
        <v>42070</v>
      </c>
      <c r="N70" s="15">
        <f t="shared" si="43"/>
        <v>1.1458333333333334E-2</v>
      </c>
      <c r="O70" s="31"/>
      <c r="P70" s="14">
        <v>66</v>
      </c>
      <c r="Q70" s="12">
        <v>41705</v>
      </c>
      <c r="R70" s="15">
        <f t="shared" si="42"/>
        <v>1.0625000000000001E-2</v>
      </c>
      <c r="S70" s="4"/>
      <c r="T70" s="14">
        <v>66</v>
      </c>
      <c r="U70" s="12">
        <v>42070</v>
      </c>
      <c r="V70" s="15">
        <f t="shared" si="44"/>
        <v>1.0625000000000001E-2</v>
      </c>
      <c r="AA70" s="14">
        <v>66</v>
      </c>
      <c r="AB70" s="12">
        <v>40974</v>
      </c>
      <c r="AC70" s="15">
        <f t="shared" si="45"/>
        <v>1.5208333333333332E-2</v>
      </c>
      <c r="AI70" s="60">
        <v>66</v>
      </c>
      <c r="AJ70" s="58">
        <v>41705</v>
      </c>
      <c r="AK70" s="61">
        <f t="shared" si="46"/>
        <v>1.2750000000000001E-2</v>
      </c>
      <c r="AL70" s="58">
        <v>42070</v>
      </c>
      <c r="AM70" s="61">
        <f t="shared" si="47"/>
        <v>1.2750000000000001E-2</v>
      </c>
      <c r="AO70" s="58">
        <v>41705</v>
      </c>
      <c r="AP70" s="61">
        <f t="shared" si="48"/>
        <v>1.4749999999999999E-2</v>
      </c>
      <c r="AQ70" s="58">
        <v>42070</v>
      </c>
      <c r="AR70" s="61">
        <f t="shared" si="49"/>
        <v>1.175E-2</v>
      </c>
    </row>
    <row r="71" spans="4:44">
      <c r="D71" s="14">
        <v>67</v>
      </c>
      <c r="E71" s="12">
        <v>41341</v>
      </c>
      <c r="F71" s="15">
        <f t="shared" si="40"/>
        <v>1.4375000000000002E-2</v>
      </c>
      <c r="H71" s="14">
        <v>67</v>
      </c>
      <c r="I71" s="12">
        <v>41706</v>
      </c>
      <c r="J71" s="15">
        <f t="shared" si="41"/>
        <v>1.3541666666666664E-2</v>
      </c>
      <c r="K71" s="4"/>
      <c r="L71" s="14">
        <v>67</v>
      </c>
      <c r="M71" s="12">
        <v>42071</v>
      </c>
      <c r="N71" s="15">
        <f t="shared" si="43"/>
        <v>1.1458333333333334E-2</v>
      </c>
      <c r="O71" s="31"/>
      <c r="P71" s="14">
        <v>67</v>
      </c>
      <c r="Q71" s="12">
        <v>41706</v>
      </c>
      <c r="R71" s="15">
        <f t="shared" si="42"/>
        <v>1.0625000000000001E-2</v>
      </c>
      <c r="S71" s="4"/>
      <c r="T71" s="14">
        <v>67</v>
      </c>
      <c r="U71" s="12">
        <v>42071</v>
      </c>
      <c r="V71" s="15">
        <f t="shared" si="44"/>
        <v>1.0625000000000001E-2</v>
      </c>
      <c r="AA71" s="14">
        <v>67</v>
      </c>
      <c r="AB71" s="12">
        <v>40975</v>
      </c>
      <c r="AC71" s="15">
        <f t="shared" si="45"/>
        <v>1.5208333333333332E-2</v>
      </c>
      <c r="AI71" s="60">
        <v>67</v>
      </c>
      <c r="AJ71" s="58">
        <v>41706</v>
      </c>
      <c r="AK71" s="61">
        <f t="shared" si="46"/>
        <v>1.2750000000000001E-2</v>
      </c>
      <c r="AL71" s="58">
        <v>42071</v>
      </c>
      <c r="AM71" s="61">
        <f t="shared" si="47"/>
        <v>1.2750000000000001E-2</v>
      </c>
      <c r="AO71" s="58">
        <v>41706</v>
      </c>
      <c r="AP71" s="61">
        <f t="shared" si="48"/>
        <v>1.4749999999999999E-2</v>
      </c>
      <c r="AQ71" s="58">
        <v>42071</v>
      </c>
      <c r="AR71" s="61">
        <f t="shared" si="49"/>
        <v>1.175E-2</v>
      </c>
    </row>
    <row r="72" spans="4:44">
      <c r="D72" s="14">
        <v>68</v>
      </c>
      <c r="E72" s="12">
        <v>41342</v>
      </c>
      <c r="F72" s="15">
        <f t="shared" si="40"/>
        <v>1.4375000000000002E-2</v>
      </c>
      <c r="H72" s="14">
        <v>68</v>
      </c>
      <c r="I72" s="12">
        <v>41707</v>
      </c>
      <c r="J72" s="15">
        <f t="shared" si="41"/>
        <v>1.3541666666666664E-2</v>
      </c>
      <c r="K72" s="4"/>
      <c r="L72" s="14">
        <v>68</v>
      </c>
      <c r="M72" s="12">
        <v>42072</v>
      </c>
      <c r="N72" s="15">
        <f t="shared" si="43"/>
        <v>1.1458333333333334E-2</v>
      </c>
      <c r="O72" s="31"/>
      <c r="P72" s="14">
        <v>68</v>
      </c>
      <c r="Q72" s="12">
        <v>41707</v>
      </c>
      <c r="R72" s="15">
        <f t="shared" si="42"/>
        <v>1.0625000000000001E-2</v>
      </c>
      <c r="S72" s="4"/>
      <c r="T72" s="14">
        <v>68</v>
      </c>
      <c r="U72" s="12">
        <v>42072</v>
      </c>
      <c r="V72" s="15">
        <f t="shared" si="44"/>
        <v>1.0625000000000001E-2</v>
      </c>
      <c r="AA72" s="14">
        <v>68</v>
      </c>
      <c r="AB72" s="12">
        <v>40976</v>
      </c>
      <c r="AC72" s="15">
        <f t="shared" si="45"/>
        <v>1.5208333333333332E-2</v>
      </c>
      <c r="AI72" s="60">
        <v>68</v>
      </c>
      <c r="AJ72" s="58">
        <v>41707</v>
      </c>
      <c r="AK72" s="61">
        <f t="shared" si="46"/>
        <v>1.2750000000000001E-2</v>
      </c>
      <c r="AL72" s="58">
        <v>42072</v>
      </c>
      <c r="AM72" s="61">
        <f t="shared" si="47"/>
        <v>1.2750000000000001E-2</v>
      </c>
      <c r="AO72" s="58">
        <v>41707</v>
      </c>
      <c r="AP72" s="61">
        <f t="shared" si="48"/>
        <v>1.4749999999999999E-2</v>
      </c>
      <c r="AQ72" s="58">
        <v>42072</v>
      </c>
      <c r="AR72" s="61">
        <f t="shared" si="49"/>
        <v>1.175E-2</v>
      </c>
    </row>
    <row r="73" spans="4:44">
      <c r="D73" s="14">
        <v>69</v>
      </c>
      <c r="E73" s="12">
        <v>41343</v>
      </c>
      <c r="F73" s="15">
        <f t="shared" si="40"/>
        <v>1.4375000000000002E-2</v>
      </c>
      <c r="H73" s="14">
        <v>69</v>
      </c>
      <c r="I73" s="12">
        <v>41708</v>
      </c>
      <c r="J73" s="15">
        <f t="shared" si="41"/>
        <v>1.3541666666666664E-2</v>
      </c>
      <c r="K73" s="4"/>
      <c r="L73" s="14">
        <v>69</v>
      </c>
      <c r="M73" s="12">
        <v>42073</v>
      </c>
      <c r="N73" s="15">
        <f t="shared" si="43"/>
        <v>1.1458333333333334E-2</v>
      </c>
      <c r="O73" s="31"/>
      <c r="P73" s="14">
        <v>69</v>
      </c>
      <c r="Q73" s="12">
        <v>41708</v>
      </c>
      <c r="R73" s="15">
        <f t="shared" si="42"/>
        <v>1.0625000000000001E-2</v>
      </c>
      <c r="S73" s="4"/>
      <c r="T73" s="14">
        <v>69</v>
      </c>
      <c r="U73" s="12">
        <v>42073</v>
      </c>
      <c r="V73" s="15">
        <f t="shared" si="44"/>
        <v>1.0625000000000001E-2</v>
      </c>
      <c r="AA73" s="14">
        <v>69</v>
      </c>
      <c r="AB73" s="12">
        <v>40977</v>
      </c>
      <c r="AC73" s="15">
        <f t="shared" si="45"/>
        <v>1.5208333333333332E-2</v>
      </c>
      <c r="AI73" s="60">
        <v>69</v>
      </c>
      <c r="AJ73" s="58">
        <v>41708</v>
      </c>
      <c r="AK73" s="61">
        <f t="shared" si="46"/>
        <v>1.2750000000000001E-2</v>
      </c>
      <c r="AL73" s="58">
        <v>42073</v>
      </c>
      <c r="AM73" s="61">
        <f t="shared" si="47"/>
        <v>1.2750000000000001E-2</v>
      </c>
      <c r="AO73" s="58">
        <v>41708</v>
      </c>
      <c r="AP73" s="61">
        <f t="shared" si="48"/>
        <v>1.4749999999999999E-2</v>
      </c>
      <c r="AQ73" s="58">
        <v>42073</v>
      </c>
      <c r="AR73" s="61">
        <f t="shared" si="49"/>
        <v>1.175E-2</v>
      </c>
    </row>
    <row r="74" spans="4:44">
      <c r="D74" s="14">
        <v>70</v>
      </c>
      <c r="E74" s="12">
        <v>41344</v>
      </c>
      <c r="F74" s="15">
        <f t="shared" si="40"/>
        <v>1.4375000000000002E-2</v>
      </c>
      <c r="H74" s="14">
        <v>70</v>
      </c>
      <c r="I74" s="12">
        <v>41709</v>
      </c>
      <c r="J74" s="15">
        <f t="shared" si="41"/>
        <v>1.3541666666666664E-2</v>
      </c>
      <c r="K74" s="4"/>
      <c r="L74" s="14">
        <v>70</v>
      </c>
      <c r="M74" s="12">
        <v>42074</v>
      </c>
      <c r="N74" s="15">
        <f t="shared" si="43"/>
        <v>1.1458333333333334E-2</v>
      </c>
      <c r="O74" s="31"/>
      <c r="P74" s="14">
        <v>70</v>
      </c>
      <c r="Q74" s="12">
        <v>41709</v>
      </c>
      <c r="R74" s="15">
        <f t="shared" si="42"/>
        <v>1.0625000000000001E-2</v>
      </c>
      <c r="S74" s="4"/>
      <c r="T74" s="14">
        <v>70</v>
      </c>
      <c r="U74" s="12">
        <v>42074</v>
      </c>
      <c r="V74" s="15">
        <f t="shared" si="44"/>
        <v>1.0625000000000001E-2</v>
      </c>
      <c r="AA74" s="14">
        <v>70</v>
      </c>
      <c r="AB74" s="12">
        <v>40978</v>
      </c>
      <c r="AC74" s="15">
        <f t="shared" si="45"/>
        <v>1.5208333333333332E-2</v>
      </c>
      <c r="AI74" s="60">
        <v>70</v>
      </c>
      <c r="AJ74" s="58">
        <v>41709</v>
      </c>
      <c r="AK74" s="61">
        <f t="shared" si="46"/>
        <v>1.2750000000000001E-2</v>
      </c>
      <c r="AL74" s="58">
        <v>42074</v>
      </c>
      <c r="AM74" s="61">
        <f t="shared" si="47"/>
        <v>1.2750000000000001E-2</v>
      </c>
      <c r="AO74" s="58">
        <v>41709</v>
      </c>
      <c r="AP74" s="61">
        <f t="shared" si="48"/>
        <v>1.4749999999999999E-2</v>
      </c>
      <c r="AQ74" s="58">
        <v>42074</v>
      </c>
      <c r="AR74" s="61">
        <f t="shared" si="49"/>
        <v>1.175E-2</v>
      </c>
    </row>
    <row r="75" spans="4:44">
      <c r="D75" s="14">
        <v>71</v>
      </c>
      <c r="E75" s="12">
        <v>41345</v>
      </c>
      <c r="F75" s="15">
        <f t="shared" si="40"/>
        <v>1.4375000000000002E-2</v>
      </c>
      <c r="H75" s="14">
        <v>71</v>
      </c>
      <c r="I75" s="12">
        <v>41710</v>
      </c>
      <c r="J75" s="15">
        <f t="shared" si="41"/>
        <v>1.3541666666666664E-2</v>
      </c>
      <c r="K75" s="4"/>
      <c r="L75" s="14">
        <v>71</v>
      </c>
      <c r="M75" s="12">
        <v>42075</v>
      </c>
      <c r="N75" s="15">
        <f t="shared" si="43"/>
        <v>1.1458333333333334E-2</v>
      </c>
      <c r="O75" s="31"/>
      <c r="P75" s="14">
        <v>71</v>
      </c>
      <c r="Q75" s="12">
        <v>41710</v>
      </c>
      <c r="R75" s="15">
        <f t="shared" si="42"/>
        <v>1.0625000000000001E-2</v>
      </c>
      <c r="S75" s="4"/>
      <c r="T75" s="14">
        <v>71</v>
      </c>
      <c r="U75" s="12">
        <v>42075</v>
      </c>
      <c r="V75" s="15">
        <f t="shared" si="44"/>
        <v>1.0625000000000001E-2</v>
      </c>
      <c r="AA75" s="14">
        <v>71</v>
      </c>
      <c r="AB75" s="12">
        <v>40979</v>
      </c>
      <c r="AC75" s="15">
        <f t="shared" si="45"/>
        <v>1.5208333333333332E-2</v>
      </c>
      <c r="AI75" s="60">
        <v>71</v>
      </c>
      <c r="AJ75" s="58">
        <v>41710</v>
      </c>
      <c r="AK75" s="61">
        <f t="shared" si="46"/>
        <v>1.2750000000000001E-2</v>
      </c>
      <c r="AL75" s="58">
        <v>42075</v>
      </c>
      <c r="AM75" s="61">
        <f t="shared" si="47"/>
        <v>1.2750000000000001E-2</v>
      </c>
      <c r="AO75" s="58">
        <v>41710</v>
      </c>
      <c r="AP75" s="61">
        <f t="shared" si="48"/>
        <v>1.4749999999999999E-2</v>
      </c>
      <c r="AQ75" s="58">
        <v>42075</v>
      </c>
      <c r="AR75" s="61">
        <f t="shared" si="49"/>
        <v>1.175E-2</v>
      </c>
    </row>
    <row r="76" spans="4:44">
      <c r="D76" s="14">
        <v>72</v>
      </c>
      <c r="E76" s="12">
        <v>41346</v>
      </c>
      <c r="F76" s="15">
        <f t="shared" si="40"/>
        <v>1.4375000000000002E-2</v>
      </c>
      <c r="H76" s="14">
        <v>72</v>
      </c>
      <c r="I76" s="12">
        <v>41711</v>
      </c>
      <c r="J76" s="15">
        <f t="shared" si="41"/>
        <v>1.3541666666666664E-2</v>
      </c>
      <c r="K76" s="4"/>
      <c r="L76" s="14">
        <v>72</v>
      </c>
      <c r="M76" s="12">
        <v>42076</v>
      </c>
      <c r="N76" s="15">
        <f t="shared" si="43"/>
        <v>1.1458333333333334E-2</v>
      </c>
      <c r="O76" s="31"/>
      <c r="P76" s="14">
        <v>72</v>
      </c>
      <c r="Q76" s="12">
        <v>41711</v>
      </c>
      <c r="R76" s="15">
        <f t="shared" si="42"/>
        <v>1.0625000000000001E-2</v>
      </c>
      <c r="S76" s="4"/>
      <c r="T76" s="14">
        <v>72</v>
      </c>
      <c r="U76" s="12">
        <v>42076</v>
      </c>
      <c r="V76" s="15">
        <f t="shared" si="44"/>
        <v>1.0625000000000001E-2</v>
      </c>
      <c r="AA76" s="14">
        <v>72</v>
      </c>
      <c r="AB76" s="12">
        <v>40980</v>
      </c>
      <c r="AC76" s="15">
        <f t="shared" si="45"/>
        <v>1.5208333333333332E-2</v>
      </c>
      <c r="AI76" s="60">
        <v>72</v>
      </c>
      <c r="AJ76" s="58">
        <v>41711</v>
      </c>
      <c r="AK76" s="61">
        <f t="shared" si="46"/>
        <v>1.2750000000000001E-2</v>
      </c>
      <c r="AL76" s="58">
        <v>42076</v>
      </c>
      <c r="AM76" s="61">
        <f t="shared" si="47"/>
        <v>1.2750000000000001E-2</v>
      </c>
      <c r="AO76" s="58">
        <v>41711</v>
      </c>
      <c r="AP76" s="61">
        <f t="shared" si="48"/>
        <v>1.4749999999999999E-2</v>
      </c>
      <c r="AQ76" s="58">
        <v>42076</v>
      </c>
      <c r="AR76" s="61">
        <f t="shared" si="49"/>
        <v>1.175E-2</v>
      </c>
    </row>
    <row r="77" spans="4:44">
      <c r="D77" s="14">
        <v>73</v>
      </c>
      <c r="E77" s="12">
        <v>41347</v>
      </c>
      <c r="F77" s="15">
        <f t="shared" si="40"/>
        <v>1.4375000000000002E-2</v>
      </c>
      <c r="H77" s="14">
        <v>73</v>
      </c>
      <c r="I77" s="12">
        <v>41712</v>
      </c>
      <c r="J77" s="15">
        <f t="shared" si="41"/>
        <v>1.3541666666666664E-2</v>
      </c>
      <c r="K77" s="4"/>
      <c r="L77" s="14">
        <v>73</v>
      </c>
      <c r="M77" s="12">
        <v>42077</v>
      </c>
      <c r="N77" s="15">
        <f t="shared" si="43"/>
        <v>1.1458333333333334E-2</v>
      </c>
      <c r="O77" s="31"/>
      <c r="P77" s="14">
        <v>73</v>
      </c>
      <c r="Q77" s="12">
        <v>41712</v>
      </c>
      <c r="R77" s="15">
        <f t="shared" si="42"/>
        <v>1.0625000000000001E-2</v>
      </c>
      <c r="S77" s="4"/>
      <c r="T77" s="14">
        <v>73</v>
      </c>
      <c r="U77" s="12">
        <v>42077</v>
      </c>
      <c r="V77" s="15">
        <f t="shared" si="44"/>
        <v>1.0625000000000001E-2</v>
      </c>
      <c r="AA77" s="14">
        <v>73</v>
      </c>
      <c r="AB77" s="12">
        <v>40981</v>
      </c>
      <c r="AC77" s="15">
        <f t="shared" si="45"/>
        <v>1.5208333333333332E-2</v>
      </c>
      <c r="AI77" s="60">
        <v>73</v>
      </c>
      <c r="AJ77" s="58">
        <v>41712</v>
      </c>
      <c r="AK77" s="61">
        <f t="shared" si="46"/>
        <v>1.2750000000000001E-2</v>
      </c>
      <c r="AL77" s="58">
        <v>42077</v>
      </c>
      <c r="AM77" s="61">
        <f t="shared" si="47"/>
        <v>1.2750000000000001E-2</v>
      </c>
      <c r="AO77" s="58">
        <v>41712</v>
      </c>
      <c r="AP77" s="61">
        <f t="shared" si="48"/>
        <v>1.4749999999999999E-2</v>
      </c>
      <c r="AQ77" s="58">
        <v>42077</v>
      </c>
      <c r="AR77" s="61">
        <f t="shared" si="49"/>
        <v>1.175E-2</v>
      </c>
    </row>
    <row r="78" spans="4:44">
      <c r="D78" s="14">
        <v>74</v>
      </c>
      <c r="E78" s="12">
        <v>41348</v>
      </c>
      <c r="F78" s="15">
        <f t="shared" si="40"/>
        <v>1.4375000000000002E-2</v>
      </c>
      <c r="H78" s="14">
        <v>74</v>
      </c>
      <c r="I78" s="12">
        <v>41713</v>
      </c>
      <c r="J78" s="15">
        <f t="shared" si="41"/>
        <v>1.3541666666666664E-2</v>
      </c>
      <c r="K78" s="4"/>
      <c r="L78" s="14">
        <v>74</v>
      </c>
      <c r="M78" s="12">
        <v>42078</v>
      </c>
      <c r="N78" s="15">
        <f t="shared" si="43"/>
        <v>1.1458333333333334E-2</v>
      </c>
      <c r="O78" s="31"/>
      <c r="P78" s="14">
        <v>74</v>
      </c>
      <c r="Q78" s="12">
        <v>41713</v>
      </c>
      <c r="R78" s="15">
        <f t="shared" si="42"/>
        <v>1.0625000000000001E-2</v>
      </c>
      <c r="S78" s="4"/>
      <c r="T78" s="14">
        <v>74</v>
      </c>
      <c r="U78" s="12">
        <v>42078</v>
      </c>
      <c r="V78" s="15">
        <f t="shared" si="44"/>
        <v>1.0625000000000001E-2</v>
      </c>
      <c r="AA78" s="14">
        <v>74</v>
      </c>
      <c r="AB78" s="12">
        <v>40982</v>
      </c>
      <c r="AC78" s="15">
        <f t="shared" si="45"/>
        <v>1.5208333333333332E-2</v>
      </c>
      <c r="AI78" s="60">
        <v>74</v>
      </c>
      <c r="AJ78" s="58">
        <v>41713</v>
      </c>
      <c r="AK78" s="61">
        <f t="shared" si="46"/>
        <v>1.2750000000000001E-2</v>
      </c>
      <c r="AL78" s="58">
        <v>42078</v>
      </c>
      <c r="AM78" s="61">
        <f t="shared" si="47"/>
        <v>1.2750000000000001E-2</v>
      </c>
      <c r="AO78" s="58">
        <v>41713</v>
      </c>
      <c r="AP78" s="61">
        <f t="shared" si="48"/>
        <v>1.4749999999999999E-2</v>
      </c>
      <c r="AQ78" s="58">
        <v>42078</v>
      </c>
      <c r="AR78" s="61">
        <f t="shared" si="49"/>
        <v>1.175E-2</v>
      </c>
    </row>
    <row r="79" spans="4:44">
      <c r="D79" s="14">
        <v>75</v>
      </c>
      <c r="E79" s="12">
        <v>41349</v>
      </c>
      <c r="F79" s="15">
        <f t="shared" si="40"/>
        <v>1.4375000000000002E-2</v>
      </c>
      <c r="H79" s="14">
        <v>75</v>
      </c>
      <c r="I79" s="12">
        <v>41714</v>
      </c>
      <c r="J79" s="15">
        <f t="shared" si="41"/>
        <v>1.3541666666666664E-2</v>
      </c>
      <c r="K79" s="4"/>
      <c r="L79" s="14">
        <v>75</v>
      </c>
      <c r="M79" s="12">
        <v>42079</v>
      </c>
      <c r="N79" s="15">
        <f t="shared" si="43"/>
        <v>1.1458333333333334E-2</v>
      </c>
      <c r="O79" s="31"/>
      <c r="P79" s="14">
        <v>75</v>
      </c>
      <c r="Q79" s="12">
        <v>41714</v>
      </c>
      <c r="R79" s="15">
        <f t="shared" si="42"/>
        <v>1.0625000000000001E-2</v>
      </c>
      <c r="S79" s="4"/>
      <c r="T79" s="14">
        <v>75</v>
      </c>
      <c r="U79" s="12">
        <v>42079</v>
      </c>
      <c r="V79" s="15">
        <f t="shared" si="44"/>
        <v>1.0625000000000001E-2</v>
      </c>
      <c r="AA79" s="14">
        <v>75</v>
      </c>
      <c r="AB79" s="12">
        <v>40983</v>
      </c>
      <c r="AC79" s="15">
        <f t="shared" si="45"/>
        <v>1.5208333333333332E-2</v>
      </c>
      <c r="AI79" s="60">
        <v>75</v>
      </c>
      <c r="AJ79" s="58">
        <v>41714</v>
      </c>
      <c r="AK79" s="61">
        <f t="shared" si="46"/>
        <v>1.2750000000000001E-2</v>
      </c>
      <c r="AL79" s="58">
        <v>42079</v>
      </c>
      <c r="AM79" s="61">
        <f t="shared" si="47"/>
        <v>1.2750000000000001E-2</v>
      </c>
      <c r="AO79" s="58">
        <v>41714</v>
      </c>
      <c r="AP79" s="61">
        <f t="shared" si="48"/>
        <v>1.4749999999999999E-2</v>
      </c>
      <c r="AQ79" s="58">
        <v>42079</v>
      </c>
      <c r="AR79" s="61">
        <f t="shared" si="49"/>
        <v>1.175E-2</v>
      </c>
    </row>
    <row r="80" spans="4:44">
      <c r="D80" s="14">
        <v>76</v>
      </c>
      <c r="E80" s="12">
        <v>41350</v>
      </c>
      <c r="F80" s="15">
        <f t="shared" si="40"/>
        <v>1.4375000000000002E-2</v>
      </c>
      <c r="H80" s="14">
        <v>76</v>
      </c>
      <c r="I80" s="12">
        <v>41715</v>
      </c>
      <c r="J80" s="15">
        <f t="shared" si="41"/>
        <v>1.3541666666666664E-2</v>
      </c>
      <c r="K80" s="4"/>
      <c r="L80" s="14">
        <v>76</v>
      </c>
      <c r="M80" s="12">
        <v>42080</v>
      </c>
      <c r="N80" s="15">
        <f t="shared" si="43"/>
        <v>1.1458333333333334E-2</v>
      </c>
      <c r="O80" s="31"/>
      <c r="P80" s="14">
        <v>76</v>
      </c>
      <c r="Q80" s="12">
        <v>41715</v>
      </c>
      <c r="R80" s="15">
        <f t="shared" si="42"/>
        <v>1.0625000000000001E-2</v>
      </c>
      <c r="S80" s="4"/>
      <c r="T80" s="14">
        <v>76</v>
      </c>
      <c r="U80" s="12">
        <v>42080</v>
      </c>
      <c r="V80" s="15">
        <f t="shared" si="44"/>
        <v>1.0625000000000001E-2</v>
      </c>
      <c r="AA80" s="14">
        <v>76</v>
      </c>
      <c r="AB80" s="12">
        <v>40984</v>
      </c>
      <c r="AC80" s="15">
        <f t="shared" si="45"/>
        <v>1.5208333333333332E-2</v>
      </c>
      <c r="AI80" s="60">
        <v>76</v>
      </c>
      <c r="AJ80" s="58">
        <v>41715</v>
      </c>
      <c r="AK80" s="61">
        <f t="shared" si="46"/>
        <v>1.2750000000000001E-2</v>
      </c>
      <c r="AL80" s="58">
        <v>42080</v>
      </c>
      <c r="AM80" s="61">
        <f t="shared" si="47"/>
        <v>1.2750000000000001E-2</v>
      </c>
      <c r="AO80" s="58">
        <v>41715</v>
      </c>
      <c r="AP80" s="61">
        <f t="shared" si="48"/>
        <v>1.4749999999999999E-2</v>
      </c>
      <c r="AQ80" s="58">
        <v>42080</v>
      </c>
      <c r="AR80" s="61">
        <f t="shared" si="49"/>
        <v>1.175E-2</v>
      </c>
    </row>
    <row r="81" spans="4:44">
      <c r="D81" s="14">
        <v>77</v>
      </c>
      <c r="E81" s="12">
        <v>41351</v>
      </c>
      <c r="F81" s="15">
        <f t="shared" si="40"/>
        <v>1.4375000000000002E-2</v>
      </c>
      <c r="H81" s="14">
        <v>77</v>
      </c>
      <c r="I81" s="12">
        <v>41716</v>
      </c>
      <c r="J81" s="15">
        <f t="shared" si="41"/>
        <v>1.3541666666666664E-2</v>
      </c>
      <c r="K81" s="4"/>
      <c r="L81" s="14">
        <v>77</v>
      </c>
      <c r="M81" s="12">
        <v>42081</v>
      </c>
      <c r="N81" s="15">
        <f t="shared" si="43"/>
        <v>1.1458333333333334E-2</v>
      </c>
      <c r="O81" s="31"/>
      <c r="P81" s="14">
        <v>77</v>
      </c>
      <c r="Q81" s="12">
        <v>41716</v>
      </c>
      <c r="R81" s="15">
        <f t="shared" si="42"/>
        <v>1.0625000000000001E-2</v>
      </c>
      <c r="S81" s="4"/>
      <c r="T81" s="14">
        <v>77</v>
      </c>
      <c r="U81" s="12">
        <v>42081</v>
      </c>
      <c r="V81" s="15">
        <f t="shared" si="44"/>
        <v>1.0625000000000001E-2</v>
      </c>
      <c r="AA81" s="14">
        <v>77</v>
      </c>
      <c r="AB81" s="12">
        <v>40985</v>
      </c>
      <c r="AC81" s="15">
        <f t="shared" si="45"/>
        <v>1.5208333333333332E-2</v>
      </c>
      <c r="AI81" s="60">
        <v>77</v>
      </c>
      <c r="AJ81" s="58">
        <v>41716</v>
      </c>
      <c r="AK81" s="61">
        <f t="shared" si="46"/>
        <v>1.2750000000000001E-2</v>
      </c>
      <c r="AL81" s="58">
        <v>42081</v>
      </c>
      <c r="AM81" s="61">
        <f t="shared" si="47"/>
        <v>1.2750000000000001E-2</v>
      </c>
      <c r="AO81" s="58">
        <v>41716</v>
      </c>
      <c r="AP81" s="61">
        <f t="shared" si="48"/>
        <v>1.4749999999999999E-2</v>
      </c>
      <c r="AQ81" s="58">
        <v>42081</v>
      </c>
      <c r="AR81" s="61">
        <f t="shared" si="49"/>
        <v>1.175E-2</v>
      </c>
    </row>
    <row r="82" spans="4:44">
      <c r="D82" s="14">
        <v>78</v>
      </c>
      <c r="E82" s="12">
        <v>41352</v>
      </c>
      <c r="F82" s="15">
        <f t="shared" si="40"/>
        <v>1.4375000000000002E-2</v>
      </c>
      <c r="H82" s="14">
        <v>78</v>
      </c>
      <c r="I82" s="12">
        <v>41717</v>
      </c>
      <c r="J82" s="15">
        <f t="shared" si="41"/>
        <v>1.3541666666666664E-2</v>
      </c>
      <c r="K82" s="4"/>
      <c r="L82" s="14">
        <v>78</v>
      </c>
      <c r="M82" s="12">
        <v>42082</v>
      </c>
      <c r="N82" s="15">
        <f t="shared" si="43"/>
        <v>1.1458333333333334E-2</v>
      </c>
      <c r="O82" s="31"/>
      <c r="P82" s="14">
        <v>78</v>
      </c>
      <c r="Q82" s="12">
        <v>41717</v>
      </c>
      <c r="R82" s="15">
        <f t="shared" si="42"/>
        <v>1.0625000000000001E-2</v>
      </c>
      <c r="S82" s="4"/>
      <c r="T82" s="14">
        <v>78</v>
      </c>
      <c r="U82" s="12">
        <v>42082</v>
      </c>
      <c r="V82" s="15">
        <f t="shared" si="44"/>
        <v>1.0625000000000001E-2</v>
      </c>
      <c r="AA82" s="14">
        <v>78</v>
      </c>
      <c r="AB82" s="12">
        <v>40986</v>
      </c>
      <c r="AC82" s="15">
        <f t="shared" si="45"/>
        <v>1.5208333333333332E-2</v>
      </c>
      <c r="AI82" s="60">
        <v>78</v>
      </c>
      <c r="AJ82" s="58">
        <v>41717</v>
      </c>
      <c r="AK82" s="61">
        <f t="shared" si="46"/>
        <v>1.2750000000000001E-2</v>
      </c>
      <c r="AL82" s="58">
        <v>42082</v>
      </c>
      <c r="AM82" s="61">
        <f t="shared" si="47"/>
        <v>1.2750000000000001E-2</v>
      </c>
      <c r="AO82" s="58">
        <v>41717</v>
      </c>
      <c r="AP82" s="61">
        <f t="shared" si="48"/>
        <v>1.4749999999999999E-2</v>
      </c>
      <c r="AQ82" s="58">
        <v>42082</v>
      </c>
      <c r="AR82" s="61">
        <f t="shared" si="49"/>
        <v>1.175E-2</v>
      </c>
    </row>
    <row r="83" spans="4:44">
      <c r="D83" s="14">
        <v>79</v>
      </c>
      <c r="E83" s="12">
        <v>41353</v>
      </c>
      <c r="F83" s="15">
        <f t="shared" si="40"/>
        <v>1.4375000000000002E-2</v>
      </c>
      <c r="H83" s="14">
        <v>79</v>
      </c>
      <c r="I83" s="12">
        <v>41718</v>
      </c>
      <c r="J83" s="15">
        <f t="shared" si="41"/>
        <v>1.3541666666666664E-2</v>
      </c>
      <c r="K83" s="4"/>
      <c r="L83" s="14">
        <v>79</v>
      </c>
      <c r="M83" s="12">
        <v>42083</v>
      </c>
      <c r="N83" s="15">
        <f t="shared" si="43"/>
        <v>1.1458333333333334E-2</v>
      </c>
      <c r="O83" s="31"/>
      <c r="P83" s="14">
        <v>79</v>
      </c>
      <c r="Q83" s="12">
        <v>41718</v>
      </c>
      <c r="R83" s="15">
        <f t="shared" si="42"/>
        <v>1.0625000000000001E-2</v>
      </c>
      <c r="S83" s="4"/>
      <c r="T83" s="14">
        <v>79</v>
      </c>
      <c r="U83" s="12">
        <v>42083</v>
      </c>
      <c r="V83" s="15">
        <f t="shared" si="44"/>
        <v>1.0625000000000001E-2</v>
      </c>
      <c r="AA83" s="14">
        <v>79</v>
      </c>
      <c r="AB83" s="12">
        <v>40987</v>
      </c>
      <c r="AC83" s="15">
        <f t="shared" si="45"/>
        <v>1.5208333333333332E-2</v>
      </c>
      <c r="AI83" s="60">
        <v>79</v>
      </c>
      <c r="AJ83" s="58">
        <v>41718</v>
      </c>
      <c r="AK83" s="61">
        <f t="shared" si="46"/>
        <v>1.2750000000000001E-2</v>
      </c>
      <c r="AL83" s="58">
        <v>42083</v>
      </c>
      <c r="AM83" s="61">
        <f t="shared" si="47"/>
        <v>1.2750000000000001E-2</v>
      </c>
      <c r="AO83" s="58">
        <v>41718</v>
      </c>
      <c r="AP83" s="61">
        <f t="shared" si="48"/>
        <v>1.4749999999999999E-2</v>
      </c>
      <c r="AQ83" s="58">
        <v>42083</v>
      </c>
      <c r="AR83" s="61">
        <f t="shared" si="49"/>
        <v>1.175E-2</v>
      </c>
    </row>
    <row r="84" spans="4:44">
      <c r="D84" s="14">
        <v>80</v>
      </c>
      <c r="E84" s="12">
        <v>41354</v>
      </c>
      <c r="F84" s="29">
        <f t="shared" ref="F84:F94" si="50">F$56+F$4/D$4/100</f>
        <v>1.7250000000000001E-2</v>
      </c>
      <c r="H84" s="14">
        <v>80</v>
      </c>
      <c r="I84" s="12">
        <v>41719</v>
      </c>
      <c r="J84" s="29">
        <f t="shared" ref="J84:J94" si="51">J$56+J$4/H$4/100</f>
        <v>1.6249999999999997E-2</v>
      </c>
      <c r="K84" s="4"/>
      <c r="L84" s="14">
        <v>80</v>
      </c>
      <c r="M84" s="12">
        <v>42084</v>
      </c>
      <c r="N84" s="29">
        <f t="shared" ref="N84:N94" si="52">N$56+N$4/L$4/100</f>
        <v>1.375E-2</v>
      </c>
      <c r="O84" s="31"/>
      <c r="P84" s="14">
        <v>80</v>
      </c>
      <c r="Q84" s="12">
        <v>41719</v>
      </c>
      <c r="R84" s="29">
        <f t="shared" ref="R84:R94" si="53">R$56+R$4/P$4/100</f>
        <v>1.2750000000000001E-2</v>
      </c>
      <c r="S84" s="4"/>
      <c r="T84" s="14">
        <v>80</v>
      </c>
      <c r="U84" s="12">
        <v>42084</v>
      </c>
      <c r="V84" s="29">
        <f t="shared" ref="V84:V94" si="54">V$56+V$4/T$4/100</f>
        <v>1.2750000000000001E-2</v>
      </c>
      <c r="AA84" s="30">
        <v>80</v>
      </c>
      <c r="AB84" s="12">
        <v>40988</v>
      </c>
      <c r="AC84" s="15">
        <f t="shared" si="45"/>
        <v>1.5208333333333332E-2</v>
      </c>
      <c r="AI84" s="60">
        <v>80</v>
      </c>
      <c r="AJ84" s="58">
        <v>41719</v>
      </c>
      <c r="AK84" s="61">
        <f t="shared" si="46"/>
        <v>1.2750000000000001E-2</v>
      </c>
      <c r="AL84" s="58">
        <v>42084</v>
      </c>
      <c r="AM84" s="61">
        <f t="shared" si="47"/>
        <v>1.2750000000000001E-2</v>
      </c>
      <c r="AO84" s="58">
        <v>41719</v>
      </c>
      <c r="AP84" s="61">
        <f t="shared" si="48"/>
        <v>1.4749999999999999E-2</v>
      </c>
      <c r="AQ84" s="58">
        <v>42084</v>
      </c>
      <c r="AR84" s="61">
        <f t="shared" si="49"/>
        <v>1.175E-2</v>
      </c>
    </row>
    <row r="85" spans="4:44">
      <c r="D85" s="14">
        <v>81</v>
      </c>
      <c r="E85" s="12">
        <v>41355</v>
      </c>
      <c r="F85" s="15">
        <f t="shared" si="50"/>
        <v>1.7250000000000001E-2</v>
      </c>
      <c r="H85" s="14">
        <v>81</v>
      </c>
      <c r="I85" s="12">
        <v>41720</v>
      </c>
      <c r="J85" s="15">
        <f t="shared" si="51"/>
        <v>1.6249999999999997E-2</v>
      </c>
      <c r="K85" s="4"/>
      <c r="L85" s="14">
        <v>81</v>
      </c>
      <c r="M85" s="12">
        <v>42085</v>
      </c>
      <c r="N85" s="15">
        <f t="shared" si="52"/>
        <v>1.375E-2</v>
      </c>
      <c r="O85" s="31"/>
      <c r="P85" s="14">
        <v>81</v>
      </c>
      <c r="Q85" s="12">
        <v>41720</v>
      </c>
      <c r="R85" s="15">
        <f t="shared" si="53"/>
        <v>1.2750000000000001E-2</v>
      </c>
      <c r="S85" s="4"/>
      <c r="T85" s="14">
        <v>81</v>
      </c>
      <c r="U85" s="12">
        <v>42085</v>
      </c>
      <c r="V85" s="15">
        <f t="shared" si="54"/>
        <v>1.2750000000000001E-2</v>
      </c>
      <c r="AA85" s="14">
        <v>81</v>
      </c>
      <c r="AB85" s="28">
        <v>40989</v>
      </c>
      <c r="AC85" s="29">
        <f t="shared" ref="AC85:AC95" si="55">AC$56+AC$4/AA$4/100</f>
        <v>1.8249999999999999E-2</v>
      </c>
      <c r="AI85" s="60">
        <v>81</v>
      </c>
      <c r="AJ85" s="58">
        <v>41720</v>
      </c>
      <c r="AK85" s="61">
        <f t="shared" si="46"/>
        <v>1.2750000000000001E-2</v>
      </c>
      <c r="AL85" s="58">
        <v>42085</v>
      </c>
      <c r="AM85" s="61">
        <f t="shared" si="47"/>
        <v>1.2750000000000001E-2</v>
      </c>
      <c r="AO85" s="58">
        <v>41720</v>
      </c>
      <c r="AP85" s="61">
        <f t="shared" si="48"/>
        <v>1.4749999999999999E-2</v>
      </c>
      <c r="AQ85" s="58">
        <v>42085</v>
      </c>
      <c r="AR85" s="61">
        <f t="shared" si="49"/>
        <v>1.175E-2</v>
      </c>
    </row>
    <row r="86" spans="4:44">
      <c r="D86" s="14">
        <v>82</v>
      </c>
      <c r="E86" s="12">
        <v>41356</v>
      </c>
      <c r="F86" s="15">
        <f t="shared" si="50"/>
        <v>1.7250000000000001E-2</v>
      </c>
      <c r="H86" s="14">
        <v>82</v>
      </c>
      <c r="I86" s="12">
        <v>41721</v>
      </c>
      <c r="J86" s="15">
        <f t="shared" si="51"/>
        <v>1.6249999999999997E-2</v>
      </c>
      <c r="K86" s="4"/>
      <c r="L86" s="14">
        <v>82</v>
      </c>
      <c r="M86" s="12">
        <v>42086</v>
      </c>
      <c r="N86" s="15">
        <f t="shared" si="52"/>
        <v>1.375E-2</v>
      </c>
      <c r="O86" s="31"/>
      <c r="P86" s="14">
        <v>82</v>
      </c>
      <c r="Q86" s="12">
        <v>41721</v>
      </c>
      <c r="R86" s="15">
        <f t="shared" si="53"/>
        <v>1.2750000000000001E-2</v>
      </c>
      <c r="S86" s="4"/>
      <c r="T86" s="14">
        <v>82</v>
      </c>
      <c r="U86" s="12">
        <v>42086</v>
      </c>
      <c r="V86" s="15">
        <f t="shared" si="54"/>
        <v>1.2750000000000001E-2</v>
      </c>
      <c r="AA86" s="14">
        <v>82</v>
      </c>
      <c r="AB86" s="12">
        <v>40990</v>
      </c>
      <c r="AC86" s="15">
        <f t="shared" si="55"/>
        <v>1.8249999999999999E-2</v>
      </c>
      <c r="AI86" s="60">
        <v>82</v>
      </c>
      <c r="AJ86" s="58">
        <v>41721</v>
      </c>
      <c r="AK86" s="61">
        <f t="shared" si="46"/>
        <v>1.2750000000000001E-2</v>
      </c>
      <c r="AL86" s="58">
        <v>42086</v>
      </c>
      <c r="AM86" s="61">
        <f t="shared" si="47"/>
        <v>1.2750000000000001E-2</v>
      </c>
      <c r="AO86" s="58">
        <v>41721</v>
      </c>
      <c r="AP86" s="61">
        <f t="shared" si="48"/>
        <v>1.4749999999999999E-2</v>
      </c>
      <c r="AQ86" s="58">
        <v>42086</v>
      </c>
      <c r="AR86" s="61">
        <f t="shared" si="49"/>
        <v>1.175E-2</v>
      </c>
    </row>
    <row r="87" spans="4:44">
      <c r="D87" s="14">
        <v>83</v>
      </c>
      <c r="E87" s="12">
        <v>41357</v>
      </c>
      <c r="F87" s="15">
        <f t="shared" si="50"/>
        <v>1.7250000000000001E-2</v>
      </c>
      <c r="H87" s="14">
        <v>83</v>
      </c>
      <c r="I87" s="12">
        <v>41722</v>
      </c>
      <c r="J87" s="15">
        <f t="shared" si="51"/>
        <v>1.6249999999999997E-2</v>
      </c>
      <c r="K87" s="4"/>
      <c r="L87" s="14">
        <v>83</v>
      </c>
      <c r="M87" s="12">
        <v>42087</v>
      </c>
      <c r="N87" s="15">
        <f t="shared" si="52"/>
        <v>1.375E-2</v>
      </c>
      <c r="O87" s="31"/>
      <c r="P87" s="14">
        <v>83</v>
      </c>
      <c r="Q87" s="12">
        <v>41722</v>
      </c>
      <c r="R87" s="15">
        <f t="shared" si="53"/>
        <v>1.2750000000000001E-2</v>
      </c>
      <c r="S87" s="4"/>
      <c r="T87" s="14">
        <v>83</v>
      </c>
      <c r="U87" s="12">
        <v>42087</v>
      </c>
      <c r="V87" s="15">
        <f t="shared" si="54"/>
        <v>1.2750000000000001E-2</v>
      </c>
      <c r="AA87" s="14">
        <v>83</v>
      </c>
      <c r="AB87" s="12">
        <v>40991</v>
      </c>
      <c r="AC87" s="15">
        <f t="shared" si="55"/>
        <v>1.8249999999999999E-2</v>
      </c>
      <c r="AI87" s="60">
        <v>83</v>
      </c>
      <c r="AJ87" s="58">
        <v>41722</v>
      </c>
      <c r="AK87" s="61">
        <f t="shared" si="46"/>
        <v>1.2750000000000001E-2</v>
      </c>
      <c r="AL87" s="58">
        <v>42087</v>
      </c>
      <c r="AM87" s="61">
        <f t="shared" si="47"/>
        <v>1.2750000000000001E-2</v>
      </c>
      <c r="AO87" s="58">
        <v>41722</v>
      </c>
      <c r="AP87" s="61">
        <f t="shared" si="48"/>
        <v>1.4749999999999999E-2</v>
      </c>
      <c r="AQ87" s="58">
        <v>42087</v>
      </c>
      <c r="AR87" s="61">
        <f t="shared" si="49"/>
        <v>1.175E-2</v>
      </c>
    </row>
    <row r="88" spans="4:44">
      <c r="D88" s="14">
        <v>84</v>
      </c>
      <c r="E88" s="12">
        <v>41358</v>
      </c>
      <c r="F88" s="15">
        <f t="shared" si="50"/>
        <v>1.7250000000000001E-2</v>
      </c>
      <c r="H88" s="14">
        <v>84</v>
      </c>
      <c r="I88" s="12">
        <v>41723</v>
      </c>
      <c r="J88" s="15">
        <f t="shared" si="51"/>
        <v>1.6249999999999997E-2</v>
      </c>
      <c r="K88" s="4"/>
      <c r="L88" s="14">
        <v>84</v>
      </c>
      <c r="M88" s="12">
        <v>42088</v>
      </c>
      <c r="N88" s="15">
        <f t="shared" si="52"/>
        <v>1.375E-2</v>
      </c>
      <c r="O88" s="31"/>
      <c r="P88" s="14">
        <v>84</v>
      </c>
      <c r="Q88" s="12">
        <v>41723</v>
      </c>
      <c r="R88" s="15">
        <f t="shared" si="53"/>
        <v>1.2750000000000001E-2</v>
      </c>
      <c r="S88" s="4"/>
      <c r="T88" s="14">
        <v>84</v>
      </c>
      <c r="U88" s="12">
        <v>42088</v>
      </c>
      <c r="V88" s="15">
        <f t="shared" si="54"/>
        <v>1.2750000000000001E-2</v>
      </c>
      <c r="AA88" s="14">
        <v>84</v>
      </c>
      <c r="AB88" s="12">
        <v>40992</v>
      </c>
      <c r="AC88" s="15">
        <f t="shared" si="55"/>
        <v>1.8249999999999999E-2</v>
      </c>
      <c r="AI88" s="60">
        <v>84</v>
      </c>
      <c r="AJ88" s="58">
        <v>41723</v>
      </c>
      <c r="AK88" s="61">
        <f t="shared" si="46"/>
        <v>1.2750000000000001E-2</v>
      </c>
      <c r="AL88" s="58">
        <v>42088</v>
      </c>
      <c r="AM88" s="61">
        <f t="shared" si="47"/>
        <v>1.2750000000000001E-2</v>
      </c>
      <c r="AO88" s="58">
        <v>41723</v>
      </c>
      <c r="AP88" s="61">
        <f t="shared" si="48"/>
        <v>1.4749999999999999E-2</v>
      </c>
      <c r="AQ88" s="58">
        <v>42088</v>
      </c>
      <c r="AR88" s="61">
        <f t="shared" si="49"/>
        <v>1.175E-2</v>
      </c>
    </row>
    <row r="89" spans="4:44">
      <c r="D89" s="14">
        <v>85</v>
      </c>
      <c r="E89" s="12">
        <v>41359</v>
      </c>
      <c r="F89" s="15">
        <f t="shared" si="50"/>
        <v>1.7250000000000001E-2</v>
      </c>
      <c r="H89" s="14">
        <v>85</v>
      </c>
      <c r="I89" s="12">
        <v>41724</v>
      </c>
      <c r="J89" s="15">
        <f t="shared" si="51"/>
        <v>1.6249999999999997E-2</v>
      </c>
      <c r="K89" s="4"/>
      <c r="L89" s="14">
        <v>85</v>
      </c>
      <c r="M89" s="12">
        <v>42089</v>
      </c>
      <c r="N89" s="15">
        <f t="shared" si="52"/>
        <v>1.375E-2</v>
      </c>
      <c r="O89" s="31"/>
      <c r="P89" s="14">
        <v>85</v>
      </c>
      <c r="Q89" s="12">
        <v>41724</v>
      </c>
      <c r="R89" s="15">
        <f t="shared" si="53"/>
        <v>1.2750000000000001E-2</v>
      </c>
      <c r="S89" s="4"/>
      <c r="T89" s="14">
        <v>85</v>
      </c>
      <c r="U89" s="12">
        <v>42089</v>
      </c>
      <c r="V89" s="15">
        <f t="shared" si="54"/>
        <v>1.2750000000000001E-2</v>
      </c>
      <c r="AA89" s="14">
        <v>85</v>
      </c>
      <c r="AB89" s="12">
        <v>40993</v>
      </c>
      <c r="AC89" s="15">
        <f t="shared" si="55"/>
        <v>1.8249999999999999E-2</v>
      </c>
      <c r="AI89" s="60">
        <v>85</v>
      </c>
      <c r="AJ89" s="58">
        <v>41724</v>
      </c>
      <c r="AK89" s="61">
        <f t="shared" si="46"/>
        <v>1.2750000000000001E-2</v>
      </c>
      <c r="AL89" s="58">
        <v>42089</v>
      </c>
      <c r="AM89" s="61">
        <f t="shared" si="47"/>
        <v>1.2750000000000001E-2</v>
      </c>
      <c r="AO89" s="58">
        <v>41724</v>
      </c>
      <c r="AP89" s="61">
        <f t="shared" si="48"/>
        <v>1.4749999999999999E-2</v>
      </c>
      <c r="AQ89" s="58">
        <v>42089</v>
      </c>
      <c r="AR89" s="61">
        <f t="shared" si="49"/>
        <v>1.175E-2</v>
      </c>
    </row>
    <row r="90" spans="4:44">
      <c r="D90" s="14">
        <v>86</v>
      </c>
      <c r="E90" s="12">
        <v>41360</v>
      </c>
      <c r="F90" s="15">
        <f t="shared" si="50"/>
        <v>1.7250000000000001E-2</v>
      </c>
      <c r="H90" s="14">
        <v>86</v>
      </c>
      <c r="I90" s="12">
        <v>41725</v>
      </c>
      <c r="J90" s="15">
        <f t="shared" si="51"/>
        <v>1.6249999999999997E-2</v>
      </c>
      <c r="K90" s="4"/>
      <c r="L90" s="14">
        <v>86</v>
      </c>
      <c r="M90" s="12">
        <v>42090</v>
      </c>
      <c r="N90" s="15">
        <f t="shared" si="52"/>
        <v>1.375E-2</v>
      </c>
      <c r="O90" s="31"/>
      <c r="P90" s="14">
        <v>86</v>
      </c>
      <c r="Q90" s="12">
        <v>41725</v>
      </c>
      <c r="R90" s="15">
        <f t="shared" si="53"/>
        <v>1.2750000000000001E-2</v>
      </c>
      <c r="S90" s="4"/>
      <c r="T90" s="14">
        <v>86</v>
      </c>
      <c r="U90" s="12">
        <v>42090</v>
      </c>
      <c r="V90" s="15">
        <f t="shared" si="54"/>
        <v>1.2750000000000001E-2</v>
      </c>
      <c r="AA90" s="14">
        <v>86</v>
      </c>
      <c r="AB90" s="12">
        <v>40994</v>
      </c>
      <c r="AC90" s="15">
        <f t="shared" si="55"/>
        <v>1.8249999999999999E-2</v>
      </c>
      <c r="AI90" s="60">
        <v>86</v>
      </c>
      <c r="AJ90" s="58">
        <v>41725</v>
      </c>
      <c r="AK90" s="61">
        <f t="shared" si="46"/>
        <v>1.2750000000000001E-2</v>
      </c>
      <c r="AL90" s="58">
        <v>42090</v>
      </c>
      <c r="AM90" s="61">
        <f t="shared" si="47"/>
        <v>1.2750000000000001E-2</v>
      </c>
      <c r="AO90" s="58">
        <v>41725</v>
      </c>
      <c r="AP90" s="61">
        <f t="shared" si="48"/>
        <v>1.4749999999999999E-2</v>
      </c>
      <c r="AQ90" s="58">
        <v>42090</v>
      </c>
      <c r="AR90" s="61">
        <f t="shared" si="49"/>
        <v>1.175E-2</v>
      </c>
    </row>
    <row r="91" spans="4:44">
      <c r="D91" s="14">
        <v>87</v>
      </c>
      <c r="E91" s="12">
        <v>41361</v>
      </c>
      <c r="F91" s="15">
        <f t="shared" si="50"/>
        <v>1.7250000000000001E-2</v>
      </c>
      <c r="H91" s="14">
        <v>87</v>
      </c>
      <c r="I91" s="12">
        <v>41726</v>
      </c>
      <c r="J91" s="15">
        <f t="shared" si="51"/>
        <v>1.6249999999999997E-2</v>
      </c>
      <c r="K91" s="4"/>
      <c r="L91" s="14">
        <v>87</v>
      </c>
      <c r="M91" s="12">
        <v>42091</v>
      </c>
      <c r="N91" s="15">
        <f t="shared" si="52"/>
        <v>1.375E-2</v>
      </c>
      <c r="O91" s="31"/>
      <c r="P91" s="14">
        <v>87</v>
      </c>
      <c r="Q91" s="12">
        <v>41726</v>
      </c>
      <c r="R91" s="15">
        <f t="shared" si="53"/>
        <v>1.2750000000000001E-2</v>
      </c>
      <c r="S91" s="4"/>
      <c r="T91" s="14">
        <v>87</v>
      </c>
      <c r="U91" s="12">
        <v>42091</v>
      </c>
      <c r="V91" s="15">
        <f t="shared" si="54"/>
        <v>1.2750000000000001E-2</v>
      </c>
      <c r="AA91" s="14">
        <v>87</v>
      </c>
      <c r="AB91" s="12">
        <v>40995</v>
      </c>
      <c r="AC91" s="15">
        <f t="shared" si="55"/>
        <v>1.8249999999999999E-2</v>
      </c>
      <c r="AI91" s="60">
        <v>87</v>
      </c>
      <c r="AJ91" s="58">
        <v>41726</v>
      </c>
      <c r="AK91" s="61">
        <f t="shared" si="46"/>
        <v>1.2750000000000001E-2</v>
      </c>
      <c r="AL91" s="58">
        <v>42091</v>
      </c>
      <c r="AM91" s="61">
        <f t="shared" si="47"/>
        <v>1.2750000000000001E-2</v>
      </c>
      <c r="AO91" s="58">
        <v>41726</v>
      </c>
      <c r="AP91" s="61">
        <f t="shared" si="48"/>
        <v>1.4749999999999999E-2</v>
      </c>
      <c r="AQ91" s="58">
        <v>42091</v>
      </c>
      <c r="AR91" s="61">
        <f t="shared" si="49"/>
        <v>1.175E-2</v>
      </c>
    </row>
    <row r="92" spans="4:44">
      <c r="D92" s="14">
        <v>88</v>
      </c>
      <c r="E92" s="12">
        <v>41362</v>
      </c>
      <c r="F92" s="15">
        <f t="shared" si="50"/>
        <v>1.7250000000000001E-2</v>
      </c>
      <c r="H92" s="14">
        <v>88</v>
      </c>
      <c r="I92" s="12">
        <v>41727</v>
      </c>
      <c r="J92" s="15">
        <f t="shared" si="51"/>
        <v>1.6249999999999997E-2</v>
      </c>
      <c r="K92" s="4"/>
      <c r="L92" s="14">
        <v>88</v>
      </c>
      <c r="M92" s="12">
        <v>42092</v>
      </c>
      <c r="N92" s="15">
        <f t="shared" si="52"/>
        <v>1.375E-2</v>
      </c>
      <c r="O92" s="31"/>
      <c r="P92" s="14">
        <v>88</v>
      </c>
      <c r="Q92" s="12">
        <v>41727</v>
      </c>
      <c r="R92" s="15">
        <f t="shared" si="53"/>
        <v>1.2750000000000001E-2</v>
      </c>
      <c r="S92" s="4"/>
      <c r="T92" s="14">
        <v>88</v>
      </c>
      <c r="U92" s="12">
        <v>42092</v>
      </c>
      <c r="V92" s="15">
        <f t="shared" si="54"/>
        <v>1.2750000000000001E-2</v>
      </c>
      <c r="AA92" s="14">
        <v>88</v>
      </c>
      <c r="AB92" s="12">
        <v>40996</v>
      </c>
      <c r="AC92" s="15">
        <f t="shared" si="55"/>
        <v>1.8249999999999999E-2</v>
      </c>
      <c r="AI92" s="60">
        <v>88</v>
      </c>
      <c r="AJ92" s="58">
        <v>41727</v>
      </c>
      <c r="AK92" s="61">
        <f t="shared" si="46"/>
        <v>1.2750000000000001E-2</v>
      </c>
      <c r="AL92" s="58">
        <v>42092</v>
      </c>
      <c r="AM92" s="61">
        <f t="shared" si="47"/>
        <v>1.2750000000000001E-2</v>
      </c>
      <c r="AO92" s="58">
        <v>41727</v>
      </c>
      <c r="AP92" s="61">
        <f t="shared" si="48"/>
        <v>1.4749999999999999E-2</v>
      </c>
      <c r="AQ92" s="58">
        <v>42092</v>
      </c>
      <c r="AR92" s="61">
        <f t="shared" si="49"/>
        <v>1.175E-2</v>
      </c>
    </row>
    <row r="93" spans="4:44">
      <c r="D93" s="14">
        <v>89</v>
      </c>
      <c r="E93" s="12">
        <v>41363</v>
      </c>
      <c r="F93" s="15">
        <f t="shared" si="50"/>
        <v>1.7250000000000001E-2</v>
      </c>
      <c r="H93" s="14">
        <v>89</v>
      </c>
      <c r="I93" s="12">
        <v>41728</v>
      </c>
      <c r="J93" s="15">
        <f t="shared" si="51"/>
        <v>1.6249999999999997E-2</v>
      </c>
      <c r="K93" s="4"/>
      <c r="L93" s="14">
        <v>89</v>
      </c>
      <c r="M93" s="12">
        <v>42093</v>
      </c>
      <c r="N93" s="15">
        <f t="shared" si="52"/>
        <v>1.375E-2</v>
      </c>
      <c r="O93" s="31"/>
      <c r="P93" s="14">
        <v>89</v>
      </c>
      <c r="Q93" s="12">
        <v>41728</v>
      </c>
      <c r="R93" s="15">
        <f t="shared" si="53"/>
        <v>1.2750000000000001E-2</v>
      </c>
      <c r="S93" s="4"/>
      <c r="T93" s="14">
        <v>89</v>
      </c>
      <c r="U93" s="12">
        <v>42093</v>
      </c>
      <c r="V93" s="15">
        <f t="shared" si="54"/>
        <v>1.2750000000000001E-2</v>
      </c>
      <c r="AA93" s="14">
        <v>89</v>
      </c>
      <c r="AB93" s="12">
        <v>40997</v>
      </c>
      <c r="AC93" s="15">
        <f t="shared" si="55"/>
        <v>1.8249999999999999E-2</v>
      </c>
      <c r="AI93" s="60">
        <v>89</v>
      </c>
      <c r="AJ93" s="58">
        <v>41728</v>
      </c>
      <c r="AK93" s="61">
        <f t="shared" si="46"/>
        <v>1.2750000000000001E-2</v>
      </c>
      <c r="AL93" s="58">
        <v>42093</v>
      </c>
      <c r="AM93" s="61">
        <f t="shared" si="47"/>
        <v>1.2750000000000001E-2</v>
      </c>
      <c r="AO93" s="58">
        <v>41728</v>
      </c>
      <c r="AP93" s="61">
        <f t="shared" si="48"/>
        <v>1.4749999999999999E-2</v>
      </c>
      <c r="AQ93" s="58">
        <v>42093</v>
      </c>
      <c r="AR93" s="61">
        <f t="shared" si="49"/>
        <v>1.175E-2</v>
      </c>
    </row>
    <row r="94" spans="4:44">
      <c r="D94" s="14">
        <v>90</v>
      </c>
      <c r="E94" s="12">
        <v>41364</v>
      </c>
      <c r="F94" s="15">
        <f t="shared" si="50"/>
        <v>1.7250000000000001E-2</v>
      </c>
      <c r="H94" s="14">
        <v>90</v>
      </c>
      <c r="I94" s="12">
        <v>41729</v>
      </c>
      <c r="J94" s="15">
        <f t="shared" si="51"/>
        <v>1.6249999999999997E-2</v>
      </c>
      <c r="K94" s="4"/>
      <c r="L94" s="14">
        <v>90</v>
      </c>
      <c r="M94" s="12">
        <v>42094</v>
      </c>
      <c r="N94" s="15">
        <f t="shared" si="52"/>
        <v>1.375E-2</v>
      </c>
      <c r="O94" s="31"/>
      <c r="P94" s="14">
        <v>90</v>
      </c>
      <c r="Q94" s="12">
        <v>41729</v>
      </c>
      <c r="R94" s="15">
        <f t="shared" si="53"/>
        <v>1.2750000000000001E-2</v>
      </c>
      <c r="S94" s="4"/>
      <c r="T94" s="14">
        <v>90</v>
      </c>
      <c r="U94" s="12">
        <v>42094</v>
      </c>
      <c r="V94" s="15">
        <f t="shared" si="54"/>
        <v>1.2750000000000001E-2</v>
      </c>
      <c r="AA94" s="14">
        <v>90</v>
      </c>
      <c r="AB94" s="12">
        <v>40998</v>
      </c>
      <c r="AC94" s="15">
        <f t="shared" si="55"/>
        <v>1.8249999999999999E-2</v>
      </c>
      <c r="AI94" s="60">
        <v>90</v>
      </c>
      <c r="AJ94" s="58">
        <v>41729</v>
      </c>
      <c r="AK94" s="61">
        <f t="shared" si="46"/>
        <v>1.2750000000000001E-2</v>
      </c>
      <c r="AL94" s="58">
        <v>42094</v>
      </c>
      <c r="AM94" s="61">
        <f t="shared" si="47"/>
        <v>1.2750000000000001E-2</v>
      </c>
      <c r="AO94" s="58">
        <v>41729</v>
      </c>
      <c r="AP94" s="61">
        <f t="shared" si="48"/>
        <v>1.4749999999999999E-2</v>
      </c>
      <c r="AQ94" s="58">
        <v>42094</v>
      </c>
      <c r="AR94" s="61">
        <f t="shared" si="49"/>
        <v>1.175E-2</v>
      </c>
    </row>
    <row r="95" spans="4:44">
      <c r="D95" s="14">
        <v>91</v>
      </c>
      <c r="E95" s="12">
        <v>41365</v>
      </c>
      <c r="F95" s="29">
        <f t="shared" ref="F95:F114" si="56">F$64+F$4/D$4/100</f>
        <v>2.0125000000000004E-2</v>
      </c>
      <c r="H95" s="14">
        <v>91</v>
      </c>
      <c r="I95" s="12">
        <v>41730</v>
      </c>
      <c r="J95" s="29">
        <f t="shared" ref="J95:J114" si="57">J$64+J$4/H$4/100</f>
        <v>1.8958333333333331E-2</v>
      </c>
      <c r="K95" s="4"/>
      <c r="L95" s="14">
        <v>91</v>
      </c>
      <c r="M95" s="12">
        <v>42095</v>
      </c>
      <c r="N95" s="29">
        <f t="shared" ref="N95:N114" si="58">N$64+N$4/L$4/100</f>
        <v>1.6041666666666669E-2</v>
      </c>
      <c r="O95" s="31"/>
      <c r="P95" s="14">
        <v>91</v>
      </c>
      <c r="Q95" s="12">
        <v>41730</v>
      </c>
      <c r="R95" s="29">
        <f t="shared" ref="R95:R114" si="59">R$64+R$4/P$4/100</f>
        <v>1.4875000000000001E-2</v>
      </c>
      <c r="S95" s="4"/>
      <c r="T95" s="14">
        <v>91</v>
      </c>
      <c r="U95" s="12">
        <v>42095</v>
      </c>
      <c r="V95" s="29">
        <f t="shared" ref="V95:V114" si="60">V$64+V$4/T$4/100</f>
        <v>1.4875000000000001E-2</v>
      </c>
      <c r="AA95" s="14">
        <v>91</v>
      </c>
      <c r="AB95" s="12">
        <v>40999</v>
      </c>
      <c r="AC95" s="15">
        <f t="shared" si="55"/>
        <v>1.8249999999999999E-2</v>
      </c>
      <c r="AI95" s="60">
        <v>91</v>
      </c>
      <c r="AJ95" s="63">
        <v>41730</v>
      </c>
      <c r="AK95" s="61">
        <f t="shared" si="46"/>
        <v>1.2750000000000001E-2</v>
      </c>
      <c r="AL95" s="58">
        <v>42095</v>
      </c>
      <c r="AM95" s="61">
        <f t="shared" si="47"/>
        <v>1.2750000000000001E-2</v>
      </c>
      <c r="AO95" s="63">
        <v>41730</v>
      </c>
      <c r="AP95" s="61">
        <f t="shared" si="48"/>
        <v>1.4749999999999999E-2</v>
      </c>
      <c r="AQ95" s="58">
        <v>42095</v>
      </c>
      <c r="AR95" s="61">
        <f t="shared" si="49"/>
        <v>1.175E-2</v>
      </c>
    </row>
    <row r="96" spans="4:44">
      <c r="D96" s="14">
        <v>92</v>
      </c>
      <c r="E96" s="12">
        <v>41366</v>
      </c>
      <c r="F96" s="15">
        <f t="shared" si="56"/>
        <v>2.0125000000000004E-2</v>
      </c>
      <c r="H96" s="14">
        <v>92</v>
      </c>
      <c r="I96" s="12">
        <v>41731</v>
      </c>
      <c r="J96" s="15">
        <f t="shared" si="57"/>
        <v>1.8958333333333331E-2</v>
      </c>
      <c r="K96" s="4"/>
      <c r="L96" s="14">
        <v>92</v>
      </c>
      <c r="M96" s="12">
        <v>42096</v>
      </c>
      <c r="N96" s="15">
        <f t="shared" si="58"/>
        <v>1.6041666666666669E-2</v>
      </c>
      <c r="O96" s="31"/>
      <c r="P96" s="14">
        <v>92</v>
      </c>
      <c r="Q96" s="12">
        <v>41731</v>
      </c>
      <c r="R96" s="15">
        <f t="shared" si="59"/>
        <v>1.4875000000000001E-2</v>
      </c>
      <c r="S96" s="4"/>
      <c r="T96" s="14">
        <v>92</v>
      </c>
      <c r="U96" s="12">
        <v>42096</v>
      </c>
      <c r="V96" s="15">
        <f t="shared" si="60"/>
        <v>1.4875000000000001E-2</v>
      </c>
      <c r="AA96" s="30">
        <v>92</v>
      </c>
      <c r="AB96" s="28">
        <v>41000</v>
      </c>
      <c r="AC96" s="29">
        <f t="shared" ref="AC96:AC115" si="61">AC$65+AC$4/AA$4/100</f>
        <v>2.1291666666666667E-2</v>
      </c>
      <c r="AI96" s="60">
        <v>92</v>
      </c>
      <c r="AJ96" s="58">
        <v>41731</v>
      </c>
      <c r="AK96" s="61">
        <f t="shared" si="46"/>
        <v>1.2750000000000001E-2</v>
      </c>
      <c r="AL96" s="58">
        <v>42096</v>
      </c>
      <c r="AM96" s="61">
        <f t="shared" si="47"/>
        <v>1.2750000000000001E-2</v>
      </c>
      <c r="AO96" s="58">
        <v>41731</v>
      </c>
      <c r="AP96" s="61">
        <f t="shared" si="48"/>
        <v>1.4749999999999999E-2</v>
      </c>
      <c r="AQ96" s="58">
        <v>42096</v>
      </c>
      <c r="AR96" s="61">
        <f t="shared" si="49"/>
        <v>1.175E-2</v>
      </c>
    </row>
    <row r="97" spans="4:44">
      <c r="D97" s="14">
        <v>93</v>
      </c>
      <c r="E97" s="12">
        <v>41367</v>
      </c>
      <c r="F97" s="15">
        <f t="shared" si="56"/>
        <v>2.0125000000000004E-2</v>
      </c>
      <c r="H97" s="14">
        <v>93</v>
      </c>
      <c r="I97" s="12">
        <v>41732</v>
      </c>
      <c r="J97" s="15">
        <f t="shared" si="57"/>
        <v>1.8958333333333331E-2</v>
      </c>
      <c r="K97" s="4"/>
      <c r="L97" s="14">
        <v>93</v>
      </c>
      <c r="M97" s="12">
        <v>42097</v>
      </c>
      <c r="N97" s="15">
        <f t="shared" si="58"/>
        <v>1.6041666666666669E-2</v>
      </c>
      <c r="O97" s="31"/>
      <c r="P97" s="14">
        <v>93</v>
      </c>
      <c r="Q97" s="12">
        <v>41732</v>
      </c>
      <c r="R97" s="15">
        <f t="shared" si="59"/>
        <v>1.4875000000000001E-2</v>
      </c>
      <c r="S97" s="4"/>
      <c r="T97" s="14">
        <v>93</v>
      </c>
      <c r="U97" s="12">
        <v>42097</v>
      </c>
      <c r="V97" s="15">
        <f t="shared" si="60"/>
        <v>1.4875000000000001E-2</v>
      </c>
      <c r="AA97" s="14">
        <v>93</v>
      </c>
      <c r="AB97" s="12">
        <v>41001</v>
      </c>
      <c r="AC97" s="15">
        <f t="shared" si="61"/>
        <v>2.1291666666666667E-2</v>
      </c>
      <c r="AI97" s="60">
        <v>93</v>
      </c>
      <c r="AJ97" s="58">
        <v>41732</v>
      </c>
      <c r="AK97" s="61">
        <f t="shared" si="46"/>
        <v>1.2750000000000001E-2</v>
      </c>
      <c r="AL97" s="58">
        <v>42097</v>
      </c>
      <c r="AM97" s="61">
        <f t="shared" si="47"/>
        <v>1.2750000000000001E-2</v>
      </c>
      <c r="AO97" s="58">
        <v>41732</v>
      </c>
      <c r="AP97" s="61">
        <f t="shared" si="48"/>
        <v>1.4749999999999999E-2</v>
      </c>
      <c r="AQ97" s="58">
        <v>42097</v>
      </c>
      <c r="AR97" s="61">
        <f t="shared" si="49"/>
        <v>1.175E-2</v>
      </c>
    </row>
    <row r="98" spans="4:44">
      <c r="D98" s="14">
        <v>94</v>
      </c>
      <c r="E98" s="12">
        <v>41368</v>
      </c>
      <c r="F98" s="15">
        <f t="shared" si="56"/>
        <v>2.0125000000000004E-2</v>
      </c>
      <c r="H98" s="14">
        <v>94</v>
      </c>
      <c r="I98" s="12">
        <v>41733</v>
      </c>
      <c r="J98" s="15">
        <f t="shared" si="57"/>
        <v>1.8958333333333331E-2</v>
      </c>
      <c r="K98" s="4"/>
      <c r="L98" s="14">
        <v>94</v>
      </c>
      <c r="M98" s="12">
        <v>42098</v>
      </c>
      <c r="N98" s="15">
        <f t="shared" si="58"/>
        <v>1.6041666666666669E-2</v>
      </c>
      <c r="O98" s="31"/>
      <c r="P98" s="14">
        <v>94</v>
      </c>
      <c r="Q98" s="12">
        <v>41733</v>
      </c>
      <c r="R98" s="15">
        <f t="shared" si="59"/>
        <v>1.4875000000000001E-2</v>
      </c>
      <c r="S98" s="4"/>
      <c r="T98" s="14">
        <v>94</v>
      </c>
      <c r="U98" s="12">
        <v>42098</v>
      </c>
      <c r="V98" s="15">
        <f t="shared" si="60"/>
        <v>1.4875000000000001E-2</v>
      </c>
      <c r="AA98" s="14">
        <v>94</v>
      </c>
      <c r="AB98" s="12">
        <v>41002</v>
      </c>
      <c r="AC98" s="15">
        <f t="shared" si="61"/>
        <v>2.1291666666666667E-2</v>
      </c>
      <c r="AI98" s="60">
        <v>94</v>
      </c>
      <c r="AJ98" s="58">
        <v>41733</v>
      </c>
      <c r="AK98" s="61">
        <f t="shared" si="46"/>
        <v>1.2750000000000001E-2</v>
      </c>
      <c r="AL98" s="58">
        <v>42098</v>
      </c>
      <c r="AM98" s="61">
        <f t="shared" si="47"/>
        <v>1.2750000000000001E-2</v>
      </c>
      <c r="AO98" s="58">
        <v>41733</v>
      </c>
      <c r="AP98" s="61">
        <f t="shared" si="48"/>
        <v>1.4749999999999999E-2</v>
      </c>
      <c r="AQ98" s="58">
        <v>42098</v>
      </c>
      <c r="AR98" s="61">
        <f t="shared" si="49"/>
        <v>1.175E-2</v>
      </c>
    </row>
    <row r="99" spans="4:44">
      <c r="D99" s="14">
        <v>95</v>
      </c>
      <c r="E99" s="12">
        <v>41369</v>
      </c>
      <c r="F99" s="15">
        <f t="shared" si="56"/>
        <v>2.0125000000000004E-2</v>
      </c>
      <c r="H99" s="14">
        <v>95</v>
      </c>
      <c r="I99" s="12">
        <v>41734</v>
      </c>
      <c r="J99" s="15">
        <f t="shared" si="57"/>
        <v>1.8958333333333331E-2</v>
      </c>
      <c r="K99" s="4"/>
      <c r="L99" s="14">
        <v>95</v>
      </c>
      <c r="M99" s="12">
        <v>42099</v>
      </c>
      <c r="N99" s="15">
        <f t="shared" si="58"/>
        <v>1.6041666666666669E-2</v>
      </c>
      <c r="O99" s="31"/>
      <c r="P99" s="14">
        <v>95</v>
      </c>
      <c r="Q99" s="12">
        <v>41734</v>
      </c>
      <c r="R99" s="15">
        <f t="shared" si="59"/>
        <v>1.4875000000000001E-2</v>
      </c>
      <c r="S99" s="4"/>
      <c r="T99" s="14">
        <v>95</v>
      </c>
      <c r="U99" s="12">
        <v>42099</v>
      </c>
      <c r="V99" s="15">
        <f t="shared" si="60"/>
        <v>1.4875000000000001E-2</v>
      </c>
      <c r="AA99" s="14">
        <v>95</v>
      </c>
      <c r="AB99" s="12">
        <v>41003</v>
      </c>
      <c r="AC99" s="15">
        <f t="shared" si="61"/>
        <v>2.1291666666666667E-2</v>
      </c>
      <c r="AI99" s="60">
        <v>95</v>
      </c>
      <c r="AJ99" s="58">
        <v>41734</v>
      </c>
      <c r="AK99" s="61">
        <f t="shared" si="46"/>
        <v>1.2750000000000001E-2</v>
      </c>
      <c r="AL99" s="58">
        <v>42099</v>
      </c>
      <c r="AM99" s="61">
        <f t="shared" si="47"/>
        <v>1.2750000000000001E-2</v>
      </c>
      <c r="AO99" s="58">
        <v>41734</v>
      </c>
      <c r="AP99" s="61">
        <f t="shared" si="48"/>
        <v>1.4749999999999999E-2</v>
      </c>
      <c r="AQ99" s="58">
        <v>42099</v>
      </c>
      <c r="AR99" s="61">
        <f t="shared" si="49"/>
        <v>1.175E-2</v>
      </c>
    </row>
    <row r="100" spans="4:44">
      <c r="D100" s="14">
        <v>96</v>
      </c>
      <c r="E100" s="12">
        <v>41370</v>
      </c>
      <c r="F100" s="15">
        <f t="shared" si="56"/>
        <v>2.0125000000000004E-2</v>
      </c>
      <c r="H100" s="14">
        <v>96</v>
      </c>
      <c r="I100" s="12">
        <v>41735</v>
      </c>
      <c r="J100" s="15">
        <f t="shared" si="57"/>
        <v>1.8958333333333331E-2</v>
      </c>
      <c r="K100" s="4"/>
      <c r="L100" s="14">
        <v>96</v>
      </c>
      <c r="M100" s="12">
        <v>42100</v>
      </c>
      <c r="N100" s="15">
        <f t="shared" si="58"/>
        <v>1.6041666666666669E-2</v>
      </c>
      <c r="O100" s="31"/>
      <c r="P100" s="14">
        <v>96</v>
      </c>
      <c r="Q100" s="12">
        <v>41735</v>
      </c>
      <c r="R100" s="15">
        <f t="shared" si="59"/>
        <v>1.4875000000000001E-2</v>
      </c>
      <c r="S100" s="4"/>
      <c r="T100" s="14">
        <v>96</v>
      </c>
      <c r="U100" s="12">
        <v>42100</v>
      </c>
      <c r="V100" s="15">
        <f t="shared" si="60"/>
        <v>1.4875000000000001E-2</v>
      </c>
      <c r="AA100" s="14">
        <v>96</v>
      </c>
      <c r="AB100" s="12">
        <v>41004</v>
      </c>
      <c r="AC100" s="15">
        <f t="shared" si="61"/>
        <v>2.1291666666666667E-2</v>
      </c>
      <c r="AI100" s="60">
        <v>96</v>
      </c>
      <c r="AJ100" s="58">
        <v>41735</v>
      </c>
      <c r="AK100" s="64">
        <f t="shared" ref="AK100:AK129" si="62">AK$99+AK$4/AI$4/100</f>
        <v>1.7000000000000001E-2</v>
      </c>
      <c r="AL100" s="58">
        <v>42100</v>
      </c>
      <c r="AM100" s="64">
        <f t="shared" ref="AM100:AM129" si="63">AM$99+AM$4/AI$4/100</f>
        <v>1.7000000000000001E-2</v>
      </c>
      <c r="AO100" s="58">
        <v>41735</v>
      </c>
      <c r="AP100" s="64">
        <f t="shared" ref="AP100:AP129" si="64">AP$99+AP$4/AI$4/100</f>
        <v>1.9666666666666666E-2</v>
      </c>
      <c r="AQ100" s="58">
        <v>42100</v>
      </c>
      <c r="AR100" s="64">
        <f t="shared" ref="AR100:AR129" si="65">AR$99+AR$4/AI$4/100</f>
        <v>1.5666666666666666E-2</v>
      </c>
    </row>
    <row r="101" spans="4:44">
      <c r="D101" s="14">
        <v>97</v>
      </c>
      <c r="E101" s="12">
        <v>41371</v>
      </c>
      <c r="F101" s="15">
        <f t="shared" si="56"/>
        <v>2.0125000000000004E-2</v>
      </c>
      <c r="H101" s="14">
        <v>97</v>
      </c>
      <c r="I101" s="12">
        <v>41736</v>
      </c>
      <c r="J101" s="15">
        <f t="shared" si="57"/>
        <v>1.8958333333333331E-2</v>
      </c>
      <c r="K101" s="4"/>
      <c r="L101" s="14">
        <v>97</v>
      </c>
      <c r="M101" s="12">
        <v>42101</v>
      </c>
      <c r="N101" s="15">
        <f t="shared" si="58"/>
        <v>1.6041666666666669E-2</v>
      </c>
      <c r="O101" s="31"/>
      <c r="P101" s="14">
        <v>97</v>
      </c>
      <c r="Q101" s="12">
        <v>41736</v>
      </c>
      <c r="R101" s="15">
        <f t="shared" si="59"/>
        <v>1.4875000000000001E-2</v>
      </c>
      <c r="S101" s="4"/>
      <c r="T101" s="14">
        <v>97</v>
      </c>
      <c r="U101" s="12">
        <v>42101</v>
      </c>
      <c r="V101" s="15">
        <f t="shared" si="60"/>
        <v>1.4875000000000001E-2</v>
      </c>
      <c r="AA101" s="14">
        <v>97</v>
      </c>
      <c r="AB101" s="12">
        <v>41005</v>
      </c>
      <c r="AC101" s="15">
        <f t="shared" si="61"/>
        <v>2.1291666666666667E-2</v>
      </c>
      <c r="AI101" s="60">
        <v>97</v>
      </c>
      <c r="AJ101" s="58">
        <v>41736</v>
      </c>
      <c r="AK101" s="61">
        <f t="shared" si="62"/>
        <v>1.7000000000000001E-2</v>
      </c>
      <c r="AL101" s="58">
        <v>42101</v>
      </c>
      <c r="AM101" s="61">
        <f t="shared" si="63"/>
        <v>1.7000000000000001E-2</v>
      </c>
      <c r="AO101" s="58">
        <v>41736</v>
      </c>
      <c r="AP101" s="61">
        <f t="shared" si="64"/>
        <v>1.9666666666666666E-2</v>
      </c>
      <c r="AQ101" s="58">
        <v>42101</v>
      </c>
      <c r="AR101" s="61">
        <f t="shared" si="65"/>
        <v>1.5666666666666666E-2</v>
      </c>
    </row>
    <row r="102" spans="4:44">
      <c r="D102" s="14">
        <v>98</v>
      </c>
      <c r="E102" s="12">
        <v>41372</v>
      </c>
      <c r="F102" s="15">
        <f t="shared" si="56"/>
        <v>2.0125000000000004E-2</v>
      </c>
      <c r="H102" s="14">
        <v>98</v>
      </c>
      <c r="I102" s="12">
        <v>41737</v>
      </c>
      <c r="J102" s="15">
        <f t="shared" si="57"/>
        <v>1.8958333333333331E-2</v>
      </c>
      <c r="K102" s="4"/>
      <c r="L102" s="14">
        <v>98</v>
      </c>
      <c r="M102" s="12">
        <v>42102</v>
      </c>
      <c r="N102" s="15">
        <f t="shared" si="58"/>
        <v>1.6041666666666669E-2</v>
      </c>
      <c r="O102" s="31"/>
      <c r="P102" s="14">
        <v>98</v>
      </c>
      <c r="Q102" s="12">
        <v>41737</v>
      </c>
      <c r="R102" s="15">
        <f t="shared" si="59"/>
        <v>1.4875000000000001E-2</v>
      </c>
      <c r="S102" s="4"/>
      <c r="T102" s="14">
        <v>98</v>
      </c>
      <c r="U102" s="12">
        <v>42102</v>
      </c>
      <c r="V102" s="15">
        <f t="shared" si="60"/>
        <v>1.4875000000000001E-2</v>
      </c>
      <c r="AA102" s="14">
        <v>98</v>
      </c>
      <c r="AB102" s="12">
        <v>41006</v>
      </c>
      <c r="AC102" s="15">
        <f t="shared" si="61"/>
        <v>2.1291666666666667E-2</v>
      </c>
      <c r="AI102" s="60">
        <v>98</v>
      </c>
      <c r="AJ102" s="58">
        <v>41737</v>
      </c>
      <c r="AK102" s="61">
        <f t="shared" si="62"/>
        <v>1.7000000000000001E-2</v>
      </c>
      <c r="AL102" s="58">
        <v>42102</v>
      </c>
      <c r="AM102" s="61">
        <f t="shared" si="63"/>
        <v>1.7000000000000001E-2</v>
      </c>
      <c r="AO102" s="58">
        <v>41737</v>
      </c>
      <c r="AP102" s="61">
        <f t="shared" si="64"/>
        <v>1.9666666666666666E-2</v>
      </c>
      <c r="AQ102" s="58">
        <v>42102</v>
      </c>
      <c r="AR102" s="61">
        <f t="shared" si="65"/>
        <v>1.5666666666666666E-2</v>
      </c>
    </row>
    <row r="103" spans="4:44">
      <c r="D103" s="14">
        <v>99</v>
      </c>
      <c r="E103" s="12">
        <v>41373</v>
      </c>
      <c r="F103" s="15">
        <f t="shared" si="56"/>
        <v>2.0125000000000004E-2</v>
      </c>
      <c r="H103" s="14">
        <v>99</v>
      </c>
      <c r="I103" s="12">
        <v>41738</v>
      </c>
      <c r="J103" s="15">
        <f t="shared" si="57"/>
        <v>1.8958333333333331E-2</v>
      </c>
      <c r="K103" s="4"/>
      <c r="L103" s="14">
        <v>99</v>
      </c>
      <c r="M103" s="12">
        <v>42103</v>
      </c>
      <c r="N103" s="15">
        <f t="shared" si="58"/>
        <v>1.6041666666666669E-2</v>
      </c>
      <c r="O103" s="31"/>
      <c r="P103" s="14">
        <v>99</v>
      </c>
      <c r="Q103" s="12">
        <v>41738</v>
      </c>
      <c r="R103" s="15">
        <f t="shared" si="59"/>
        <v>1.4875000000000001E-2</v>
      </c>
      <c r="S103" s="4"/>
      <c r="T103" s="14">
        <v>99</v>
      </c>
      <c r="U103" s="12">
        <v>42103</v>
      </c>
      <c r="V103" s="15">
        <f t="shared" si="60"/>
        <v>1.4875000000000001E-2</v>
      </c>
      <c r="AA103" s="14">
        <v>99</v>
      </c>
      <c r="AB103" s="12">
        <v>41007</v>
      </c>
      <c r="AC103" s="15">
        <f t="shared" si="61"/>
        <v>2.1291666666666667E-2</v>
      </c>
      <c r="AI103" s="60">
        <v>99</v>
      </c>
      <c r="AJ103" s="58">
        <v>41738</v>
      </c>
      <c r="AK103" s="61">
        <f t="shared" si="62"/>
        <v>1.7000000000000001E-2</v>
      </c>
      <c r="AL103" s="58">
        <v>42103</v>
      </c>
      <c r="AM103" s="61">
        <f t="shared" si="63"/>
        <v>1.7000000000000001E-2</v>
      </c>
      <c r="AO103" s="58">
        <v>41738</v>
      </c>
      <c r="AP103" s="61">
        <f t="shared" si="64"/>
        <v>1.9666666666666666E-2</v>
      </c>
      <c r="AQ103" s="58">
        <v>42103</v>
      </c>
      <c r="AR103" s="61">
        <f t="shared" si="65"/>
        <v>1.5666666666666666E-2</v>
      </c>
    </row>
    <row r="104" spans="4:44">
      <c r="D104" s="14">
        <v>100</v>
      </c>
      <c r="E104" s="12">
        <v>41374</v>
      </c>
      <c r="F104" s="15">
        <f t="shared" si="56"/>
        <v>2.0125000000000004E-2</v>
      </c>
      <c r="H104" s="14">
        <v>100</v>
      </c>
      <c r="I104" s="12">
        <v>41739</v>
      </c>
      <c r="J104" s="15">
        <f t="shared" si="57"/>
        <v>1.8958333333333331E-2</v>
      </c>
      <c r="K104" s="4"/>
      <c r="L104" s="14">
        <v>100</v>
      </c>
      <c r="M104" s="12">
        <v>42104</v>
      </c>
      <c r="N104" s="15">
        <f t="shared" si="58"/>
        <v>1.6041666666666669E-2</v>
      </c>
      <c r="O104" s="31"/>
      <c r="P104" s="14">
        <v>100</v>
      </c>
      <c r="Q104" s="12">
        <v>41739</v>
      </c>
      <c r="R104" s="15">
        <f t="shared" si="59"/>
        <v>1.4875000000000001E-2</v>
      </c>
      <c r="S104" s="4"/>
      <c r="T104" s="14">
        <v>100</v>
      </c>
      <c r="U104" s="12">
        <v>42104</v>
      </c>
      <c r="V104" s="15">
        <f t="shared" si="60"/>
        <v>1.4875000000000001E-2</v>
      </c>
      <c r="AA104" s="14">
        <v>100</v>
      </c>
      <c r="AB104" s="12">
        <v>41008</v>
      </c>
      <c r="AC104" s="15">
        <f t="shared" si="61"/>
        <v>2.1291666666666667E-2</v>
      </c>
      <c r="AI104" s="60">
        <v>100</v>
      </c>
      <c r="AJ104" s="58">
        <v>41739</v>
      </c>
      <c r="AK104" s="61">
        <f t="shared" si="62"/>
        <v>1.7000000000000001E-2</v>
      </c>
      <c r="AL104" s="58">
        <v>42104</v>
      </c>
      <c r="AM104" s="61">
        <f t="shared" si="63"/>
        <v>1.7000000000000001E-2</v>
      </c>
      <c r="AO104" s="58">
        <v>41739</v>
      </c>
      <c r="AP104" s="61">
        <f t="shared" si="64"/>
        <v>1.9666666666666666E-2</v>
      </c>
      <c r="AQ104" s="58">
        <v>42104</v>
      </c>
      <c r="AR104" s="61">
        <f t="shared" si="65"/>
        <v>1.5666666666666666E-2</v>
      </c>
    </row>
    <row r="105" spans="4:44" ht="14.25" customHeight="1">
      <c r="D105" s="14">
        <v>101</v>
      </c>
      <c r="E105" s="12">
        <v>41375</v>
      </c>
      <c r="F105" s="15">
        <f t="shared" si="56"/>
        <v>2.0125000000000004E-2</v>
      </c>
      <c r="H105" s="14">
        <v>101</v>
      </c>
      <c r="I105" s="12">
        <v>41740</v>
      </c>
      <c r="J105" s="15">
        <f t="shared" si="57"/>
        <v>1.8958333333333331E-2</v>
      </c>
      <c r="K105" s="4"/>
      <c r="L105" s="14">
        <v>101</v>
      </c>
      <c r="M105" s="12">
        <v>42105</v>
      </c>
      <c r="N105" s="15">
        <f t="shared" si="58"/>
        <v>1.6041666666666669E-2</v>
      </c>
      <c r="O105" s="31"/>
      <c r="P105" s="14">
        <v>101</v>
      </c>
      <c r="Q105" s="12">
        <v>41740</v>
      </c>
      <c r="R105" s="15">
        <f t="shared" si="59"/>
        <v>1.4875000000000001E-2</v>
      </c>
      <c r="S105" s="4"/>
      <c r="T105" s="14">
        <v>101</v>
      </c>
      <c r="U105" s="12">
        <v>42105</v>
      </c>
      <c r="V105" s="15">
        <f t="shared" si="60"/>
        <v>1.4875000000000001E-2</v>
      </c>
      <c r="AA105" s="14">
        <v>101</v>
      </c>
      <c r="AB105" s="12">
        <v>41009</v>
      </c>
      <c r="AC105" s="15">
        <f t="shared" si="61"/>
        <v>2.1291666666666667E-2</v>
      </c>
      <c r="AI105" s="60">
        <v>101</v>
      </c>
      <c r="AJ105" s="58">
        <v>41740</v>
      </c>
      <c r="AK105" s="61">
        <f t="shared" si="62"/>
        <v>1.7000000000000001E-2</v>
      </c>
      <c r="AL105" s="58">
        <v>42105</v>
      </c>
      <c r="AM105" s="61">
        <f t="shared" si="63"/>
        <v>1.7000000000000001E-2</v>
      </c>
      <c r="AO105" s="58">
        <v>41740</v>
      </c>
      <c r="AP105" s="61">
        <f t="shared" si="64"/>
        <v>1.9666666666666666E-2</v>
      </c>
      <c r="AQ105" s="58">
        <v>42105</v>
      </c>
      <c r="AR105" s="61">
        <f t="shared" si="65"/>
        <v>1.5666666666666666E-2</v>
      </c>
    </row>
    <row r="106" spans="4:44">
      <c r="D106" s="14">
        <v>102</v>
      </c>
      <c r="E106" s="12">
        <v>41376</v>
      </c>
      <c r="F106" s="15">
        <f t="shared" si="56"/>
        <v>2.0125000000000004E-2</v>
      </c>
      <c r="H106" s="14">
        <v>102</v>
      </c>
      <c r="I106" s="12">
        <v>41741</v>
      </c>
      <c r="J106" s="15">
        <f t="shared" si="57"/>
        <v>1.8958333333333331E-2</v>
      </c>
      <c r="K106" s="4"/>
      <c r="L106" s="14">
        <v>102</v>
      </c>
      <c r="M106" s="12">
        <v>42106</v>
      </c>
      <c r="N106" s="15">
        <f t="shared" si="58"/>
        <v>1.6041666666666669E-2</v>
      </c>
      <c r="O106" s="31"/>
      <c r="P106" s="14">
        <v>102</v>
      </c>
      <c r="Q106" s="12">
        <v>41741</v>
      </c>
      <c r="R106" s="15">
        <f t="shared" si="59"/>
        <v>1.4875000000000001E-2</v>
      </c>
      <c r="S106" s="4"/>
      <c r="T106" s="14">
        <v>102</v>
      </c>
      <c r="U106" s="12">
        <v>42106</v>
      </c>
      <c r="V106" s="15">
        <f t="shared" si="60"/>
        <v>1.4875000000000001E-2</v>
      </c>
      <c r="AA106" s="14">
        <v>102</v>
      </c>
      <c r="AB106" s="12">
        <v>41010</v>
      </c>
      <c r="AC106" s="15">
        <f t="shared" si="61"/>
        <v>2.1291666666666667E-2</v>
      </c>
      <c r="AI106" s="60">
        <v>102</v>
      </c>
      <c r="AJ106" s="58">
        <v>41741</v>
      </c>
      <c r="AK106" s="61">
        <f t="shared" si="62"/>
        <v>1.7000000000000001E-2</v>
      </c>
      <c r="AL106" s="58">
        <v>42106</v>
      </c>
      <c r="AM106" s="61">
        <f t="shared" si="63"/>
        <v>1.7000000000000001E-2</v>
      </c>
      <c r="AO106" s="58">
        <v>41741</v>
      </c>
      <c r="AP106" s="61">
        <f t="shared" si="64"/>
        <v>1.9666666666666666E-2</v>
      </c>
      <c r="AQ106" s="58">
        <v>42106</v>
      </c>
      <c r="AR106" s="61">
        <f t="shared" si="65"/>
        <v>1.5666666666666666E-2</v>
      </c>
    </row>
    <row r="107" spans="4:44">
      <c r="D107" s="14">
        <v>103</v>
      </c>
      <c r="E107" s="12">
        <v>41377</v>
      </c>
      <c r="F107" s="15">
        <f t="shared" si="56"/>
        <v>2.0125000000000004E-2</v>
      </c>
      <c r="H107" s="14">
        <v>103</v>
      </c>
      <c r="I107" s="12">
        <v>41742</v>
      </c>
      <c r="J107" s="15">
        <f t="shared" si="57"/>
        <v>1.8958333333333331E-2</v>
      </c>
      <c r="K107" s="4"/>
      <c r="L107" s="14">
        <v>103</v>
      </c>
      <c r="M107" s="12">
        <v>42107</v>
      </c>
      <c r="N107" s="15">
        <f t="shared" si="58"/>
        <v>1.6041666666666669E-2</v>
      </c>
      <c r="O107" s="31"/>
      <c r="P107" s="14">
        <v>103</v>
      </c>
      <c r="Q107" s="12">
        <v>41742</v>
      </c>
      <c r="R107" s="15">
        <f t="shared" si="59"/>
        <v>1.4875000000000001E-2</v>
      </c>
      <c r="S107" s="4"/>
      <c r="T107" s="14">
        <v>103</v>
      </c>
      <c r="U107" s="12">
        <v>42107</v>
      </c>
      <c r="V107" s="15">
        <f t="shared" si="60"/>
        <v>1.4875000000000001E-2</v>
      </c>
      <c r="AA107" s="14">
        <v>103</v>
      </c>
      <c r="AB107" s="12">
        <v>41011</v>
      </c>
      <c r="AC107" s="15">
        <f t="shared" si="61"/>
        <v>2.1291666666666667E-2</v>
      </c>
      <c r="AI107" s="60">
        <v>103</v>
      </c>
      <c r="AJ107" s="58">
        <v>41742</v>
      </c>
      <c r="AK107" s="61">
        <f t="shared" si="62"/>
        <v>1.7000000000000001E-2</v>
      </c>
      <c r="AL107" s="58">
        <v>42107</v>
      </c>
      <c r="AM107" s="61">
        <f t="shared" si="63"/>
        <v>1.7000000000000001E-2</v>
      </c>
      <c r="AO107" s="58">
        <v>41742</v>
      </c>
      <c r="AP107" s="61">
        <f t="shared" si="64"/>
        <v>1.9666666666666666E-2</v>
      </c>
      <c r="AQ107" s="58">
        <v>42107</v>
      </c>
      <c r="AR107" s="61">
        <f t="shared" si="65"/>
        <v>1.5666666666666666E-2</v>
      </c>
    </row>
    <row r="108" spans="4:44">
      <c r="D108" s="14">
        <v>104</v>
      </c>
      <c r="E108" s="12">
        <v>41378</v>
      </c>
      <c r="F108" s="15">
        <f t="shared" si="56"/>
        <v>2.0125000000000004E-2</v>
      </c>
      <c r="H108" s="14">
        <v>104</v>
      </c>
      <c r="I108" s="12">
        <v>41743</v>
      </c>
      <c r="J108" s="15">
        <f t="shared" si="57"/>
        <v>1.8958333333333331E-2</v>
      </c>
      <c r="K108" s="4"/>
      <c r="L108" s="14">
        <v>104</v>
      </c>
      <c r="M108" s="12">
        <v>42108</v>
      </c>
      <c r="N108" s="15">
        <f t="shared" si="58"/>
        <v>1.6041666666666669E-2</v>
      </c>
      <c r="O108" s="31"/>
      <c r="P108" s="14">
        <v>104</v>
      </c>
      <c r="Q108" s="12">
        <v>41743</v>
      </c>
      <c r="R108" s="15">
        <f t="shared" si="59"/>
        <v>1.4875000000000001E-2</v>
      </c>
      <c r="S108" s="4"/>
      <c r="T108" s="14">
        <v>104</v>
      </c>
      <c r="U108" s="12">
        <v>42108</v>
      </c>
      <c r="V108" s="15">
        <f t="shared" si="60"/>
        <v>1.4875000000000001E-2</v>
      </c>
      <c r="AA108" s="14">
        <v>104</v>
      </c>
      <c r="AB108" s="12">
        <v>41012</v>
      </c>
      <c r="AC108" s="15">
        <f t="shared" si="61"/>
        <v>2.1291666666666667E-2</v>
      </c>
      <c r="AI108" s="60">
        <v>104</v>
      </c>
      <c r="AJ108" s="58">
        <v>41743</v>
      </c>
      <c r="AK108" s="61">
        <f t="shared" si="62"/>
        <v>1.7000000000000001E-2</v>
      </c>
      <c r="AL108" s="58">
        <v>42108</v>
      </c>
      <c r="AM108" s="61">
        <f t="shared" si="63"/>
        <v>1.7000000000000001E-2</v>
      </c>
      <c r="AO108" s="58">
        <v>41743</v>
      </c>
      <c r="AP108" s="61">
        <f t="shared" si="64"/>
        <v>1.9666666666666666E-2</v>
      </c>
      <c r="AQ108" s="58">
        <v>42108</v>
      </c>
      <c r="AR108" s="61">
        <f t="shared" si="65"/>
        <v>1.5666666666666666E-2</v>
      </c>
    </row>
    <row r="109" spans="4:44">
      <c r="D109" s="14">
        <v>105</v>
      </c>
      <c r="E109" s="12">
        <v>41379</v>
      </c>
      <c r="F109" s="15">
        <f t="shared" si="56"/>
        <v>2.0125000000000004E-2</v>
      </c>
      <c r="H109" s="14">
        <v>105</v>
      </c>
      <c r="I109" s="12">
        <v>41744</v>
      </c>
      <c r="J109" s="15">
        <f t="shared" si="57"/>
        <v>1.8958333333333331E-2</v>
      </c>
      <c r="K109" s="4"/>
      <c r="L109" s="14">
        <v>105</v>
      </c>
      <c r="M109" s="12">
        <v>42109</v>
      </c>
      <c r="N109" s="15">
        <f t="shared" si="58"/>
        <v>1.6041666666666669E-2</v>
      </c>
      <c r="O109" s="31"/>
      <c r="P109" s="14">
        <v>105</v>
      </c>
      <c r="Q109" s="12">
        <v>41744</v>
      </c>
      <c r="R109" s="15">
        <f t="shared" si="59"/>
        <v>1.4875000000000001E-2</v>
      </c>
      <c r="S109" s="4"/>
      <c r="T109" s="14">
        <v>105</v>
      </c>
      <c r="U109" s="12">
        <v>42109</v>
      </c>
      <c r="V109" s="15">
        <f t="shared" si="60"/>
        <v>1.4875000000000001E-2</v>
      </c>
      <c r="AA109" s="14">
        <v>105</v>
      </c>
      <c r="AB109" s="12">
        <v>41013</v>
      </c>
      <c r="AC109" s="15">
        <f t="shared" si="61"/>
        <v>2.1291666666666667E-2</v>
      </c>
      <c r="AI109" s="60">
        <v>105</v>
      </c>
      <c r="AJ109" s="58">
        <v>41744</v>
      </c>
      <c r="AK109" s="61">
        <f t="shared" si="62"/>
        <v>1.7000000000000001E-2</v>
      </c>
      <c r="AL109" s="58">
        <v>42109</v>
      </c>
      <c r="AM109" s="61">
        <f t="shared" si="63"/>
        <v>1.7000000000000001E-2</v>
      </c>
      <c r="AO109" s="58">
        <v>41744</v>
      </c>
      <c r="AP109" s="61">
        <f t="shared" si="64"/>
        <v>1.9666666666666666E-2</v>
      </c>
      <c r="AQ109" s="58">
        <v>42109</v>
      </c>
      <c r="AR109" s="61">
        <f t="shared" si="65"/>
        <v>1.5666666666666666E-2</v>
      </c>
    </row>
    <row r="110" spans="4:44">
      <c r="D110" s="14">
        <v>106</v>
      </c>
      <c r="E110" s="12">
        <v>41380</v>
      </c>
      <c r="F110" s="15">
        <f t="shared" si="56"/>
        <v>2.0125000000000004E-2</v>
      </c>
      <c r="H110" s="14">
        <v>106</v>
      </c>
      <c r="I110" s="12">
        <v>41745</v>
      </c>
      <c r="J110" s="15">
        <f t="shared" si="57"/>
        <v>1.8958333333333331E-2</v>
      </c>
      <c r="K110" s="4"/>
      <c r="L110" s="14">
        <v>106</v>
      </c>
      <c r="M110" s="12">
        <v>42110</v>
      </c>
      <c r="N110" s="15">
        <f t="shared" si="58"/>
        <v>1.6041666666666669E-2</v>
      </c>
      <c r="O110" s="31"/>
      <c r="P110" s="14">
        <v>106</v>
      </c>
      <c r="Q110" s="12">
        <v>41745</v>
      </c>
      <c r="R110" s="15">
        <f t="shared" si="59"/>
        <v>1.4875000000000001E-2</v>
      </c>
      <c r="S110" s="4"/>
      <c r="T110" s="14">
        <v>106</v>
      </c>
      <c r="U110" s="12">
        <v>42110</v>
      </c>
      <c r="V110" s="15">
        <f t="shared" si="60"/>
        <v>1.4875000000000001E-2</v>
      </c>
      <c r="AA110" s="14">
        <v>106</v>
      </c>
      <c r="AB110" s="12">
        <v>41014</v>
      </c>
      <c r="AC110" s="15">
        <f t="shared" si="61"/>
        <v>2.1291666666666667E-2</v>
      </c>
      <c r="AI110" s="60">
        <v>106</v>
      </c>
      <c r="AJ110" s="58">
        <v>41745</v>
      </c>
      <c r="AK110" s="61">
        <f t="shared" si="62"/>
        <v>1.7000000000000001E-2</v>
      </c>
      <c r="AL110" s="58">
        <v>42110</v>
      </c>
      <c r="AM110" s="61">
        <f t="shared" si="63"/>
        <v>1.7000000000000001E-2</v>
      </c>
      <c r="AO110" s="58">
        <v>41745</v>
      </c>
      <c r="AP110" s="61">
        <f t="shared" si="64"/>
        <v>1.9666666666666666E-2</v>
      </c>
      <c r="AQ110" s="58">
        <v>42110</v>
      </c>
      <c r="AR110" s="61">
        <f t="shared" si="65"/>
        <v>1.5666666666666666E-2</v>
      </c>
    </row>
    <row r="111" spans="4:44">
      <c r="D111" s="14">
        <v>107</v>
      </c>
      <c r="E111" s="12">
        <v>41381</v>
      </c>
      <c r="F111" s="15">
        <f t="shared" si="56"/>
        <v>2.0125000000000004E-2</v>
      </c>
      <c r="H111" s="14">
        <v>107</v>
      </c>
      <c r="I111" s="12">
        <v>41746</v>
      </c>
      <c r="J111" s="15">
        <f t="shared" si="57"/>
        <v>1.8958333333333331E-2</v>
      </c>
      <c r="K111" s="4"/>
      <c r="L111" s="14">
        <v>107</v>
      </c>
      <c r="M111" s="12">
        <v>42111</v>
      </c>
      <c r="N111" s="15">
        <f t="shared" si="58"/>
        <v>1.6041666666666669E-2</v>
      </c>
      <c r="O111" s="31"/>
      <c r="P111" s="14">
        <v>107</v>
      </c>
      <c r="Q111" s="12">
        <v>41746</v>
      </c>
      <c r="R111" s="15">
        <f t="shared" si="59"/>
        <v>1.4875000000000001E-2</v>
      </c>
      <c r="S111" s="4"/>
      <c r="T111" s="14">
        <v>107</v>
      </c>
      <c r="U111" s="12">
        <v>42111</v>
      </c>
      <c r="V111" s="15">
        <f t="shared" si="60"/>
        <v>1.4875000000000001E-2</v>
      </c>
      <c r="AA111" s="14">
        <v>107</v>
      </c>
      <c r="AB111" s="12">
        <v>41015</v>
      </c>
      <c r="AC111" s="15">
        <f t="shared" si="61"/>
        <v>2.1291666666666667E-2</v>
      </c>
      <c r="AI111" s="60">
        <v>107</v>
      </c>
      <c r="AJ111" s="58">
        <v>41746</v>
      </c>
      <c r="AK111" s="61">
        <f t="shared" si="62"/>
        <v>1.7000000000000001E-2</v>
      </c>
      <c r="AL111" s="58">
        <v>42111</v>
      </c>
      <c r="AM111" s="61">
        <f t="shared" si="63"/>
        <v>1.7000000000000001E-2</v>
      </c>
      <c r="AO111" s="58">
        <v>41746</v>
      </c>
      <c r="AP111" s="61">
        <f t="shared" si="64"/>
        <v>1.9666666666666666E-2</v>
      </c>
      <c r="AQ111" s="58">
        <v>42111</v>
      </c>
      <c r="AR111" s="61">
        <f t="shared" si="65"/>
        <v>1.5666666666666666E-2</v>
      </c>
    </row>
    <row r="112" spans="4:44">
      <c r="D112" s="14">
        <v>108</v>
      </c>
      <c r="E112" s="12">
        <v>41382</v>
      </c>
      <c r="F112" s="15">
        <f t="shared" si="56"/>
        <v>2.0125000000000004E-2</v>
      </c>
      <c r="H112" s="14">
        <v>108</v>
      </c>
      <c r="I112" s="12">
        <v>41747</v>
      </c>
      <c r="J112" s="15">
        <f t="shared" si="57"/>
        <v>1.8958333333333331E-2</v>
      </c>
      <c r="K112" s="4"/>
      <c r="L112" s="14">
        <v>108</v>
      </c>
      <c r="M112" s="12">
        <v>42112</v>
      </c>
      <c r="N112" s="15">
        <f t="shared" si="58"/>
        <v>1.6041666666666669E-2</v>
      </c>
      <c r="O112" s="31"/>
      <c r="P112" s="14">
        <v>108</v>
      </c>
      <c r="Q112" s="12">
        <v>41747</v>
      </c>
      <c r="R112" s="15">
        <f t="shared" si="59"/>
        <v>1.4875000000000001E-2</v>
      </c>
      <c r="S112" s="4"/>
      <c r="T112" s="14">
        <v>108</v>
      </c>
      <c r="U112" s="12">
        <v>42112</v>
      </c>
      <c r="V112" s="15">
        <f t="shared" si="60"/>
        <v>1.4875000000000001E-2</v>
      </c>
      <c r="AA112" s="14">
        <v>108</v>
      </c>
      <c r="AB112" s="12">
        <v>41016</v>
      </c>
      <c r="AC112" s="15">
        <f t="shared" si="61"/>
        <v>2.1291666666666667E-2</v>
      </c>
      <c r="AI112" s="60">
        <v>108</v>
      </c>
      <c r="AJ112" s="58">
        <v>41747</v>
      </c>
      <c r="AK112" s="61">
        <f t="shared" si="62"/>
        <v>1.7000000000000001E-2</v>
      </c>
      <c r="AL112" s="58">
        <v>42112</v>
      </c>
      <c r="AM112" s="61">
        <f t="shared" si="63"/>
        <v>1.7000000000000001E-2</v>
      </c>
      <c r="AO112" s="58">
        <v>41747</v>
      </c>
      <c r="AP112" s="61">
        <f t="shared" si="64"/>
        <v>1.9666666666666666E-2</v>
      </c>
      <c r="AQ112" s="58">
        <v>42112</v>
      </c>
      <c r="AR112" s="61">
        <f t="shared" si="65"/>
        <v>1.5666666666666666E-2</v>
      </c>
    </row>
    <row r="113" spans="4:44">
      <c r="D113" s="14">
        <v>109</v>
      </c>
      <c r="E113" s="12">
        <v>41383</v>
      </c>
      <c r="F113" s="15">
        <f t="shared" si="56"/>
        <v>2.0125000000000004E-2</v>
      </c>
      <c r="H113" s="14">
        <v>109</v>
      </c>
      <c r="I113" s="12">
        <v>41748</v>
      </c>
      <c r="J113" s="15">
        <f t="shared" si="57"/>
        <v>1.8958333333333331E-2</v>
      </c>
      <c r="K113" s="4"/>
      <c r="L113" s="14">
        <v>109</v>
      </c>
      <c r="M113" s="12">
        <v>42113</v>
      </c>
      <c r="N113" s="15">
        <f t="shared" si="58"/>
        <v>1.6041666666666669E-2</v>
      </c>
      <c r="O113" s="31"/>
      <c r="P113" s="14">
        <v>109</v>
      </c>
      <c r="Q113" s="12">
        <v>41748</v>
      </c>
      <c r="R113" s="15">
        <f t="shared" si="59"/>
        <v>1.4875000000000001E-2</v>
      </c>
      <c r="S113" s="4"/>
      <c r="T113" s="14">
        <v>109</v>
      </c>
      <c r="U113" s="12">
        <v>42113</v>
      </c>
      <c r="V113" s="15">
        <f t="shared" si="60"/>
        <v>1.4875000000000001E-2</v>
      </c>
      <c r="AA113" s="14">
        <v>109</v>
      </c>
      <c r="AB113" s="12">
        <v>41017</v>
      </c>
      <c r="AC113" s="15">
        <f t="shared" si="61"/>
        <v>2.1291666666666667E-2</v>
      </c>
      <c r="AI113" s="60">
        <v>109</v>
      </c>
      <c r="AJ113" s="58">
        <v>41748</v>
      </c>
      <c r="AK113" s="61">
        <f t="shared" si="62"/>
        <v>1.7000000000000001E-2</v>
      </c>
      <c r="AL113" s="58">
        <v>42113</v>
      </c>
      <c r="AM113" s="61">
        <f t="shared" si="63"/>
        <v>1.7000000000000001E-2</v>
      </c>
      <c r="AO113" s="58">
        <v>41748</v>
      </c>
      <c r="AP113" s="61">
        <f t="shared" si="64"/>
        <v>1.9666666666666666E-2</v>
      </c>
      <c r="AQ113" s="58">
        <v>42113</v>
      </c>
      <c r="AR113" s="61">
        <f t="shared" si="65"/>
        <v>1.5666666666666666E-2</v>
      </c>
    </row>
    <row r="114" spans="4:44">
      <c r="D114" s="14">
        <v>110</v>
      </c>
      <c r="E114" s="12">
        <v>41384</v>
      </c>
      <c r="F114" s="15">
        <f t="shared" si="56"/>
        <v>2.0125000000000004E-2</v>
      </c>
      <c r="H114" s="14">
        <v>110</v>
      </c>
      <c r="I114" s="12">
        <v>41749</v>
      </c>
      <c r="J114" s="15">
        <f t="shared" si="57"/>
        <v>1.8958333333333331E-2</v>
      </c>
      <c r="K114" s="4"/>
      <c r="L114" s="14">
        <v>110</v>
      </c>
      <c r="M114" s="12">
        <v>42114</v>
      </c>
      <c r="N114" s="15">
        <f t="shared" si="58"/>
        <v>1.6041666666666669E-2</v>
      </c>
      <c r="O114" s="31"/>
      <c r="P114" s="14">
        <v>110</v>
      </c>
      <c r="Q114" s="12">
        <v>41749</v>
      </c>
      <c r="R114" s="15">
        <f t="shared" si="59"/>
        <v>1.4875000000000001E-2</v>
      </c>
      <c r="S114" s="4"/>
      <c r="T114" s="14">
        <v>110</v>
      </c>
      <c r="U114" s="12">
        <v>42114</v>
      </c>
      <c r="V114" s="15">
        <f t="shared" si="60"/>
        <v>1.4875000000000001E-2</v>
      </c>
      <c r="AA114" s="14">
        <v>110</v>
      </c>
      <c r="AB114" s="12">
        <v>41018</v>
      </c>
      <c r="AC114" s="15">
        <f t="shared" si="61"/>
        <v>2.1291666666666667E-2</v>
      </c>
      <c r="AI114" s="60">
        <v>110</v>
      </c>
      <c r="AJ114" s="58">
        <v>41749</v>
      </c>
      <c r="AK114" s="61">
        <f t="shared" si="62"/>
        <v>1.7000000000000001E-2</v>
      </c>
      <c r="AL114" s="58">
        <v>42114</v>
      </c>
      <c r="AM114" s="61">
        <f t="shared" si="63"/>
        <v>1.7000000000000001E-2</v>
      </c>
      <c r="AO114" s="58">
        <v>41749</v>
      </c>
      <c r="AP114" s="61">
        <f t="shared" si="64"/>
        <v>1.9666666666666666E-2</v>
      </c>
      <c r="AQ114" s="58">
        <v>42114</v>
      </c>
      <c r="AR114" s="61">
        <f t="shared" si="65"/>
        <v>1.5666666666666666E-2</v>
      </c>
    </row>
    <row r="115" spans="4:44">
      <c r="D115" s="14">
        <v>111</v>
      </c>
      <c r="E115" s="12">
        <v>41385</v>
      </c>
      <c r="F115" s="29">
        <f t="shared" ref="F115:F124" si="66">F$84+F$4/D$4/100</f>
        <v>2.3000000000000003E-2</v>
      </c>
      <c r="H115" s="14">
        <v>111</v>
      </c>
      <c r="I115" s="12">
        <v>41750</v>
      </c>
      <c r="J115" s="29">
        <f t="shared" ref="J115:J124" si="67">J$84+J$4/H$4/100</f>
        <v>2.1666666666666664E-2</v>
      </c>
      <c r="K115" s="4"/>
      <c r="L115" s="14">
        <v>111</v>
      </c>
      <c r="M115" s="12">
        <v>42115</v>
      </c>
      <c r="N115" s="29">
        <f t="shared" ref="N115:N124" si="68">N$84+N$4/L$4/100</f>
        <v>1.8333333333333333E-2</v>
      </c>
      <c r="O115" s="31"/>
      <c r="P115" s="14">
        <v>111</v>
      </c>
      <c r="Q115" s="12">
        <v>41750</v>
      </c>
      <c r="R115" s="29">
        <f t="shared" ref="R115:R124" si="69">R$84+R$4/P$4/100</f>
        <v>1.7000000000000001E-2</v>
      </c>
      <c r="S115" s="4"/>
      <c r="T115" s="14">
        <v>111</v>
      </c>
      <c r="U115" s="12">
        <v>42115</v>
      </c>
      <c r="V115" s="29">
        <f t="shared" ref="V115:V124" si="70">V$84+V$4/T$4/100</f>
        <v>1.7000000000000001E-2</v>
      </c>
      <c r="AA115" s="30">
        <v>111</v>
      </c>
      <c r="AB115" s="12">
        <v>41019</v>
      </c>
      <c r="AC115" s="15">
        <f t="shared" si="61"/>
        <v>2.1291666666666667E-2</v>
      </c>
      <c r="AI115" s="60">
        <v>111</v>
      </c>
      <c r="AJ115" s="58">
        <v>41750</v>
      </c>
      <c r="AK115" s="61">
        <f t="shared" si="62"/>
        <v>1.7000000000000001E-2</v>
      </c>
      <c r="AL115" s="58">
        <v>42115</v>
      </c>
      <c r="AM115" s="61">
        <f t="shared" si="63"/>
        <v>1.7000000000000001E-2</v>
      </c>
      <c r="AO115" s="58">
        <v>41750</v>
      </c>
      <c r="AP115" s="61">
        <f t="shared" si="64"/>
        <v>1.9666666666666666E-2</v>
      </c>
      <c r="AQ115" s="58">
        <v>42115</v>
      </c>
      <c r="AR115" s="61">
        <f t="shared" si="65"/>
        <v>1.5666666666666666E-2</v>
      </c>
    </row>
    <row r="116" spans="4:44">
      <c r="D116" s="14">
        <v>112</v>
      </c>
      <c r="E116" s="12">
        <v>41386</v>
      </c>
      <c r="F116" s="15">
        <f t="shared" si="66"/>
        <v>2.3000000000000003E-2</v>
      </c>
      <c r="H116" s="14">
        <v>112</v>
      </c>
      <c r="I116" s="12">
        <v>41751</v>
      </c>
      <c r="J116" s="15">
        <f t="shared" si="67"/>
        <v>2.1666666666666664E-2</v>
      </c>
      <c r="K116" s="4"/>
      <c r="L116" s="14">
        <v>112</v>
      </c>
      <c r="M116" s="12">
        <v>42116</v>
      </c>
      <c r="N116" s="15">
        <f t="shared" si="68"/>
        <v>1.8333333333333333E-2</v>
      </c>
      <c r="O116" s="31"/>
      <c r="P116" s="14">
        <v>112</v>
      </c>
      <c r="Q116" s="12">
        <v>41751</v>
      </c>
      <c r="R116" s="15">
        <f t="shared" si="69"/>
        <v>1.7000000000000001E-2</v>
      </c>
      <c r="S116" s="4"/>
      <c r="T116" s="14">
        <v>112</v>
      </c>
      <c r="U116" s="12">
        <v>42116</v>
      </c>
      <c r="V116" s="15">
        <f t="shared" si="70"/>
        <v>1.7000000000000001E-2</v>
      </c>
      <c r="AA116" s="30">
        <v>112</v>
      </c>
      <c r="AB116" s="28">
        <v>41020</v>
      </c>
      <c r="AC116" s="29">
        <f t="shared" ref="AC116:AC125" si="71">AC$85+AC$4/AA$4/100</f>
        <v>2.4333333333333332E-2</v>
      </c>
      <c r="AI116" s="60">
        <v>112</v>
      </c>
      <c r="AJ116" s="58">
        <v>41751</v>
      </c>
      <c r="AK116" s="61">
        <f t="shared" si="62"/>
        <v>1.7000000000000001E-2</v>
      </c>
      <c r="AL116" s="58">
        <v>42116</v>
      </c>
      <c r="AM116" s="61">
        <f t="shared" si="63"/>
        <v>1.7000000000000001E-2</v>
      </c>
      <c r="AO116" s="58">
        <v>41751</v>
      </c>
      <c r="AP116" s="61">
        <f t="shared" si="64"/>
        <v>1.9666666666666666E-2</v>
      </c>
      <c r="AQ116" s="58">
        <v>42116</v>
      </c>
      <c r="AR116" s="61">
        <f t="shared" si="65"/>
        <v>1.5666666666666666E-2</v>
      </c>
    </row>
    <row r="117" spans="4:44">
      <c r="D117" s="14">
        <v>113</v>
      </c>
      <c r="E117" s="12">
        <v>41387</v>
      </c>
      <c r="F117" s="15">
        <f t="shared" si="66"/>
        <v>2.3000000000000003E-2</v>
      </c>
      <c r="H117" s="14">
        <v>113</v>
      </c>
      <c r="I117" s="12">
        <v>41752</v>
      </c>
      <c r="J117" s="15">
        <f t="shared" si="67"/>
        <v>2.1666666666666664E-2</v>
      </c>
      <c r="K117" s="4"/>
      <c r="L117" s="14">
        <v>113</v>
      </c>
      <c r="M117" s="12">
        <v>42117</v>
      </c>
      <c r="N117" s="15">
        <f t="shared" si="68"/>
        <v>1.8333333333333333E-2</v>
      </c>
      <c r="O117" s="31"/>
      <c r="P117" s="14">
        <v>113</v>
      </c>
      <c r="Q117" s="12">
        <v>41752</v>
      </c>
      <c r="R117" s="15">
        <f t="shared" si="69"/>
        <v>1.7000000000000001E-2</v>
      </c>
      <c r="S117" s="4"/>
      <c r="T117" s="14">
        <v>113</v>
      </c>
      <c r="U117" s="12">
        <v>42117</v>
      </c>
      <c r="V117" s="15">
        <f t="shared" si="70"/>
        <v>1.7000000000000001E-2</v>
      </c>
      <c r="AA117" s="14">
        <v>113</v>
      </c>
      <c r="AB117" s="12">
        <v>41021</v>
      </c>
      <c r="AC117" s="15">
        <f t="shared" si="71"/>
        <v>2.4333333333333332E-2</v>
      </c>
      <c r="AI117" s="60">
        <v>113</v>
      </c>
      <c r="AJ117" s="58">
        <v>41752</v>
      </c>
      <c r="AK117" s="61">
        <f t="shared" si="62"/>
        <v>1.7000000000000001E-2</v>
      </c>
      <c r="AL117" s="58">
        <v>42117</v>
      </c>
      <c r="AM117" s="61">
        <f t="shared" si="63"/>
        <v>1.7000000000000001E-2</v>
      </c>
      <c r="AO117" s="58">
        <v>41752</v>
      </c>
      <c r="AP117" s="61">
        <f t="shared" si="64"/>
        <v>1.9666666666666666E-2</v>
      </c>
      <c r="AQ117" s="58">
        <v>42117</v>
      </c>
      <c r="AR117" s="61">
        <f t="shared" si="65"/>
        <v>1.5666666666666666E-2</v>
      </c>
    </row>
    <row r="118" spans="4:44">
      <c r="D118" s="14">
        <v>114</v>
      </c>
      <c r="E118" s="12">
        <v>41388</v>
      </c>
      <c r="F118" s="15">
        <f t="shared" si="66"/>
        <v>2.3000000000000003E-2</v>
      </c>
      <c r="H118" s="14">
        <v>114</v>
      </c>
      <c r="I118" s="12">
        <v>41753</v>
      </c>
      <c r="J118" s="15">
        <f t="shared" si="67"/>
        <v>2.1666666666666664E-2</v>
      </c>
      <c r="K118" s="4"/>
      <c r="L118" s="14">
        <v>114</v>
      </c>
      <c r="M118" s="12">
        <v>42118</v>
      </c>
      <c r="N118" s="15">
        <f t="shared" si="68"/>
        <v>1.8333333333333333E-2</v>
      </c>
      <c r="O118" s="31"/>
      <c r="P118" s="14">
        <v>114</v>
      </c>
      <c r="Q118" s="12">
        <v>41753</v>
      </c>
      <c r="R118" s="15">
        <f t="shared" si="69"/>
        <v>1.7000000000000001E-2</v>
      </c>
      <c r="S118" s="4"/>
      <c r="T118" s="14">
        <v>114</v>
      </c>
      <c r="U118" s="12">
        <v>42118</v>
      </c>
      <c r="V118" s="15">
        <f t="shared" si="70"/>
        <v>1.7000000000000001E-2</v>
      </c>
      <c r="AA118" s="14">
        <v>114</v>
      </c>
      <c r="AB118" s="12">
        <v>41022</v>
      </c>
      <c r="AC118" s="15">
        <f t="shared" si="71"/>
        <v>2.4333333333333332E-2</v>
      </c>
      <c r="AI118" s="60">
        <v>114</v>
      </c>
      <c r="AJ118" s="58">
        <v>41753</v>
      </c>
      <c r="AK118" s="61">
        <f t="shared" si="62"/>
        <v>1.7000000000000001E-2</v>
      </c>
      <c r="AL118" s="58">
        <v>42118</v>
      </c>
      <c r="AM118" s="61">
        <f t="shared" si="63"/>
        <v>1.7000000000000001E-2</v>
      </c>
      <c r="AO118" s="58">
        <v>41753</v>
      </c>
      <c r="AP118" s="61">
        <f t="shared" si="64"/>
        <v>1.9666666666666666E-2</v>
      </c>
      <c r="AQ118" s="58">
        <v>42118</v>
      </c>
      <c r="AR118" s="61">
        <f t="shared" si="65"/>
        <v>1.5666666666666666E-2</v>
      </c>
    </row>
    <row r="119" spans="4:44">
      <c r="D119" s="14">
        <v>115</v>
      </c>
      <c r="E119" s="12">
        <v>41389</v>
      </c>
      <c r="F119" s="15">
        <f t="shared" si="66"/>
        <v>2.3000000000000003E-2</v>
      </c>
      <c r="H119" s="14">
        <v>115</v>
      </c>
      <c r="I119" s="12">
        <v>41754</v>
      </c>
      <c r="J119" s="15">
        <f t="shared" si="67"/>
        <v>2.1666666666666664E-2</v>
      </c>
      <c r="K119" s="4"/>
      <c r="L119" s="14">
        <v>115</v>
      </c>
      <c r="M119" s="12">
        <v>42119</v>
      </c>
      <c r="N119" s="15">
        <f t="shared" si="68"/>
        <v>1.8333333333333333E-2</v>
      </c>
      <c r="O119" s="31"/>
      <c r="P119" s="14">
        <v>115</v>
      </c>
      <c r="Q119" s="12">
        <v>41754</v>
      </c>
      <c r="R119" s="15">
        <f t="shared" si="69"/>
        <v>1.7000000000000001E-2</v>
      </c>
      <c r="S119" s="4"/>
      <c r="T119" s="14">
        <v>115</v>
      </c>
      <c r="U119" s="12">
        <v>42119</v>
      </c>
      <c r="V119" s="15">
        <f t="shared" si="70"/>
        <v>1.7000000000000001E-2</v>
      </c>
      <c r="AA119" s="14">
        <v>115</v>
      </c>
      <c r="AB119" s="12">
        <v>41023</v>
      </c>
      <c r="AC119" s="15">
        <f t="shared" si="71"/>
        <v>2.4333333333333332E-2</v>
      </c>
      <c r="AI119" s="60">
        <v>115</v>
      </c>
      <c r="AJ119" s="58">
        <v>41754</v>
      </c>
      <c r="AK119" s="61">
        <f t="shared" si="62"/>
        <v>1.7000000000000001E-2</v>
      </c>
      <c r="AL119" s="58">
        <v>42119</v>
      </c>
      <c r="AM119" s="61">
        <f t="shared" si="63"/>
        <v>1.7000000000000001E-2</v>
      </c>
      <c r="AO119" s="58">
        <v>41754</v>
      </c>
      <c r="AP119" s="61">
        <f t="shared" si="64"/>
        <v>1.9666666666666666E-2</v>
      </c>
      <c r="AQ119" s="58">
        <v>42119</v>
      </c>
      <c r="AR119" s="61">
        <f t="shared" si="65"/>
        <v>1.5666666666666666E-2</v>
      </c>
    </row>
    <row r="120" spans="4:44">
      <c r="D120" s="14">
        <v>116</v>
      </c>
      <c r="E120" s="12">
        <v>41390</v>
      </c>
      <c r="F120" s="15">
        <f t="shared" si="66"/>
        <v>2.3000000000000003E-2</v>
      </c>
      <c r="H120" s="14">
        <v>116</v>
      </c>
      <c r="I120" s="12">
        <v>41755</v>
      </c>
      <c r="J120" s="15">
        <f t="shared" si="67"/>
        <v>2.1666666666666664E-2</v>
      </c>
      <c r="K120" s="4"/>
      <c r="L120" s="14">
        <v>116</v>
      </c>
      <c r="M120" s="12">
        <v>42120</v>
      </c>
      <c r="N120" s="15">
        <f t="shared" si="68"/>
        <v>1.8333333333333333E-2</v>
      </c>
      <c r="O120" s="31"/>
      <c r="P120" s="14">
        <v>116</v>
      </c>
      <c r="Q120" s="12">
        <v>41755</v>
      </c>
      <c r="R120" s="15">
        <f t="shared" si="69"/>
        <v>1.7000000000000001E-2</v>
      </c>
      <c r="S120" s="4"/>
      <c r="T120" s="14">
        <v>116</v>
      </c>
      <c r="U120" s="12">
        <v>42120</v>
      </c>
      <c r="V120" s="15">
        <f t="shared" si="70"/>
        <v>1.7000000000000001E-2</v>
      </c>
      <c r="AA120" s="14">
        <v>116</v>
      </c>
      <c r="AB120" s="12">
        <v>41024</v>
      </c>
      <c r="AC120" s="15">
        <f t="shared" si="71"/>
        <v>2.4333333333333332E-2</v>
      </c>
      <c r="AI120" s="60">
        <v>116</v>
      </c>
      <c r="AJ120" s="58">
        <v>41755</v>
      </c>
      <c r="AK120" s="61">
        <f t="shared" si="62"/>
        <v>1.7000000000000001E-2</v>
      </c>
      <c r="AL120" s="58">
        <v>42120</v>
      </c>
      <c r="AM120" s="61">
        <f t="shared" si="63"/>
        <v>1.7000000000000001E-2</v>
      </c>
      <c r="AO120" s="58">
        <v>41755</v>
      </c>
      <c r="AP120" s="61">
        <f t="shared" si="64"/>
        <v>1.9666666666666666E-2</v>
      </c>
      <c r="AQ120" s="58">
        <v>42120</v>
      </c>
      <c r="AR120" s="61">
        <f t="shared" si="65"/>
        <v>1.5666666666666666E-2</v>
      </c>
    </row>
    <row r="121" spans="4:44">
      <c r="D121" s="14">
        <v>117</v>
      </c>
      <c r="E121" s="12">
        <v>41391</v>
      </c>
      <c r="F121" s="15">
        <f t="shared" si="66"/>
        <v>2.3000000000000003E-2</v>
      </c>
      <c r="H121" s="14">
        <v>117</v>
      </c>
      <c r="I121" s="12">
        <v>41756</v>
      </c>
      <c r="J121" s="15">
        <f t="shared" si="67"/>
        <v>2.1666666666666664E-2</v>
      </c>
      <c r="K121" s="4"/>
      <c r="L121" s="14">
        <v>117</v>
      </c>
      <c r="M121" s="12">
        <v>42121</v>
      </c>
      <c r="N121" s="15">
        <f t="shared" si="68"/>
        <v>1.8333333333333333E-2</v>
      </c>
      <c r="O121" s="31"/>
      <c r="P121" s="14">
        <v>117</v>
      </c>
      <c r="Q121" s="12">
        <v>41756</v>
      </c>
      <c r="R121" s="15">
        <f t="shared" si="69"/>
        <v>1.7000000000000001E-2</v>
      </c>
      <c r="S121" s="4"/>
      <c r="T121" s="14">
        <v>117</v>
      </c>
      <c r="U121" s="12">
        <v>42121</v>
      </c>
      <c r="V121" s="15">
        <f t="shared" si="70"/>
        <v>1.7000000000000001E-2</v>
      </c>
      <c r="AA121" s="14">
        <v>117</v>
      </c>
      <c r="AB121" s="12">
        <v>41025</v>
      </c>
      <c r="AC121" s="15">
        <f t="shared" si="71"/>
        <v>2.4333333333333332E-2</v>
      </c>
      <c r="AI121" s="60">
        <v>117</v>
      </c>
      <c r="AJ121" s="58">
        <v>41756</v>
      </c>
      <c r="AK121" s="61">
        <f t="shared" si="62"/>
        <v>1.7000000000000001E-2</v>
      </c>
      <c r="AL121" s="58">
        <v>42121</v>
      </c>
      <c r="AM121" s="61">
        <f t="shared" si="63"/>
        <v>1.7000000000000001E-2</v>
      </c>
      <c r="AO121" s="58">
        <v>41756</v>
      </c>
      <c r="AP121" s="61">
        <f t="shared" si="64"/>
        <v>1.9666666666666666E-2</v>
      </c>
      <c r="AQ121" s="58">
        <v>42121</v>
      </c>
      <c r="AR121" s="61">
        <f t="shared" si="65"/>
        <v>1.5666666666666666E-2</v>
      </c>
    </row>
    <row r="122" spans="4:44">
      <c r="D122" s="14">
        <v>118</v>
      </c>
      <c r="E122" s="12">
        <v>41392</v>
      </c>
      <c r="F122" s="15">
        <f t="shared" si="66"/>
        <v>2.3000000000000003E-2</v>
      </c>
      <c r="H122" s="14">
        <v>118</v>
      </c>
      <c r="I122" s="12">
        <v>41757</v>
      </c>
      <c r="J122" s="15">
        <f t="shared" si="67"/>
        <v>2.1666666666666664E-2</v>
      </c>
      <c r="K122" s="4"/>
      <c r="L122" s="14">
        <v>118</v>
      </c>
      <c r="M122" s="12">
        <v>42122</v>
      </c>
      <c r="N122" s="15">
        <f t="shared" si="68"/>
        <v>1.8333333333333333E-2</v>
      </c>
      <c r="O122" s="31"/>
      <c r="P122" s="14">
        <v>118</v>
      </c>
      <c r="Q122" s="12">
        <v>41757</v>
      </c>
      <c r="R122" s="15">
        <f t="shared" si="69"/>
        <v>1.7000000000000001E-2</v>
      </c>
      <c r="S122" s="4"/>
      <c r="T122" s="14">
        <v>118</v>
      </c>
      <c r="U122" s="12">
        <v>42122</v>
      </c>
      <c r="V122" s="15">
        <f t="shared" si="70"/>
        <v>1.7000000000000001E-2</v>
      </c>
      <c r="AA122" s="14">
        <v>118</v>
      </c>
      <c r="AB122" s="12">
        <v>41026</v>
      </c>
      <c r="AC122" s="15">
        <f t="shared" si="71"/>
        <v>2.4333333333333332E-2</v>
      </c>
      <c r="AI122" s="60">
        <v>118</v>
      </c>
      <c r="AJ122" s="58">
        <v>41757</v>
      </c>
      <c r="AK122" s="61">
        <f t="shared" si="62"/>
        <v>1.7000000000000001E-2</v>
      </c>
      <c r="AL122" s="58">
        <v>42122</v>
      </c>
      <c r="AM122" s="61">
        <f t="shared" si="63"/>
        <v>1.7000000000000001E-2</v>
      </c>
      <c r="AO122" s="58">
        <v>41757</v>
      </c>
      <c r="AP122" s="61">
        <f t="shared" si="64"/>
        <v>1.9666666666666666E-2</v>
      </c>
      <c r="AQ122" s="58">
        <v>42122</v>
      </c>
      <c r="AR122" s="61">
        <f t="shared" si="65"/>
        <v>1.5666666666666666E-2</v>
      </c>
    </row>
    <row r="123" spans="4:44">
      <c r="D123" s="14">
        <v>119</v>
      </c>
      <c r="E123" s="12">
        <v>41393</v>
      </c>
      <c r="F123" s="15">
        <f t="shared" si="66"/>
        <v>2.3000000000000003E-2</v>
      </c>
      <c r="H123" s="14">
        <v>119</v>
      </c>
      <c r="I123" s="12">
        <v>41758</v>
      </c>
      <c r="J123" s="15">
        <f t="shared" si="67"/>
        <v>2.1666666666666664E-2</v>
      </c>
      <c r="K123" s="4"/>
      <c r="L123" s="14">
        <v>119</v>
      </c>
      <c r="M123" s="12">
        <v>42123</v>
      </c>
      <c r="N123" s="15">
        <f t="shared" si="68"/>
        <v>1.8333333333333333E-2</v>
      </c>
      <c r="O123" s="31"/>
      <c r="P123" s="14">
        <v>119</v>
      </c>
      <c r="Q123" s="12">
        <v>41758</v>
      </c>
      <c r="R123" s="15">
        <f t="shared" si="69"/>
        <v>1.7000000000000001E-2</v>
      </c>
      <c r="S123" s="4"/>
      <c r="T123" s="14">
        <v>119</v>
      </c>
      <c r="U123" s="12">
        <v>42123</v>
      </c>
      <c r="V123" s="15">
        <f t="shared" si="70"/>
        <v>1.7000000000000001E-2</v>
      </c>
      <c r="AA123" s="14">
        <v>119</v>
      </c>
      <c r="AB123" s="12">
        <v>41027</v>
      </c>
      <c r="AC123" s="15">
        <f t="shared" si="71"/>
        <v>2.4333333333333332E-2</v>
      </c>
      <c r="AI123" s="60">
        <v>119</v>
      </c>
      <c r="AJ123" s="58">
        <v>41758</v>
      </c>
      <c r="AK123" s="61">
        <f t="shared" si="62"/>
        <v>1.7000000000000001E-2</v>
      </c>
      <c r="AL123" s="58">
        <v>42123</v>
      </c>
      <c r="AM123" s="61">
        <f t="shared" si="63"/>
        <v>1.7000000000000001E-2</v>
      </c>
      <c r="AO123" s="58">
        <v>41758</v>
      </c>
      <c r="AP123" s="61">
        <f t="shared" si="64"/>
        <v>1.9666666666666666E-2</v>
      </c>
      <c r="AQ123" s="58">
        <v>42123</v>
      </c>
      <c r="AR123" s="61">
        <f t="shared" si="65"/>
        <v>1.5666666666666666E-2</v>
      </c>
    </row>
    <row r="124" spans="4:44">
      <c r="D124" s="14">
        <v>120</v>
      </c>
      <c r="E124" s="12">
        <v>41394</v>
      </c>
      <c r="F124" s="15">
        <f t="shared" si="66"/>
        <v>2.3000000000000003E-2</v>
      </c>
      <c r="H124" s="14">
        <v>120</v>
      </c>
      <c r="I124" s="12">
        <v>41759</v>
      </c>
      <c r="J124" s="15">
        <f t="shared" si="67"/>
        <v>2.1666666666666664E-2</v>
      </c>
      <c r="K124" s="4"/>
      <c r="L124" s="14">
        <v>120</v>
      </c>
      <c r="M124" s="12">
        <v>42124</v>
      </c>
      <c r="N124" s="15">
        <f t="shared" si="68"/>
        <v>1.8333333333333333E-2</v>
      </c>
      <c r="O124" s="31"/>
      <c r="P124" s="14">
        <v>120</v>
      </c>
      <c r="Q124" s="12">
        <v>41759</v>
      </c>
      <c r="R124" s="15">
        <f t="shared" si="69"/>
        <v>1.7000000000000001E-2</v>
      </c>
      <c r="S124" s="4"/>
      <c r="T124" s="14">
        <v>120</v>
      </c>
      <c r="U124" s="12">
        <v>42124</v>
      </c>
      <c r="V124" s="15">
        <f t="shared" si="70"/>
        <v>1.7000000000000001E-2</v>
      </c>
      <c r="AA124" s="14">
        <v>120</v>
      </c>
      <c r="AB124" s="12">
        <v>41028</v>
      </c>
      <c r="AC124" s="15">
        <f t="shared" si="71"/>
        <v>2.4333333333333332E-2</v>
      </c>
      <c r="AI124" s="60">
        <v>120</v>
      </c>
      <c r="AJ124" s="58">
        <v>41759</v>
      </c>
      <c r="AK124" s="61">
        <f t="shared" si="62"/>
        <v>1.7000000000000001E-2</v>
      </c>
      <c r="AL124" s="58">
        <v>42124</v>
      </c>
      <c r="AM124" s="61">
        <f t="shared" si="63"/>
        <v>1.7000000000000001E-2</v>
      </c>
      <c r="AO124" s="58">
        <v>41759</v>
      </c>
      <c r="AP124" s="61">
        <f t="shared" si="64"/>
        <v>1.9666666666666666E-2</v>
      </c>
      <c r="AQ124" s="58">
        <v>42124</v>
      </c>
      <c r="AR124" s="61">
        <f t="shared" si="65"/>
        <v>1.5666666666666666E-2</v>
      </c>
    </row>
    <row r="125" spans="4:44">
      <c r="D125" s="14">
        <v>121</v>
      </c>
      <c r="E125" s="12">
        <v>41395</v>
      </c>
      <c r="F125" s="29">
        <f t="shared" ref="F125:F144" si="72">F$96+F$4/D$4/100</f>
        <v>2.5875000000000006E-2</v>
      </c>
      <c r="H125" s="14">
        <v>121</v>
      </c>
      <c r="I125" s="12">
        <v>41760</v>
      </c>
      <c r="J125" s="29">
        <f t="shared" ref="J125:J144" si="73">J$96+J$4/H$4/100</f>
        <v>2.4374999999999997E-2</v>
      </c>
      <c r="K125" s="4"/>
      <c r="L125" s="14">
        <v>121</v>
      </c>
      <c r="M125" s="12">
        <v>42125</v>
      </c>
      <c r="N125" s="29">
        <f t="shared" ref="N125:N144" si="74">N$96+N$4/L$4/100</f>
        <v>2.0625000000000004E-2</v>
      </c>
      <c r="O125" s="31"/>
      <c r="P125" s="14">
        <v>121</v>
      </c>
      <c r="Q125" s="12">
        <v>41760</v>
      </c>
      <c r="R125" s="29">
        <f t="shared" ref="R125:R144" si="75">R$96+R$4/P$4/100</f>
        <v>1.9125000000000003E-2</v>
      </c>
      <c r="S125" s="4"/>
      <c r="T125" s="14">
        <v>121</v>
      </c>
      <c r="U125" s="12">
        <v>42125</v>
      </c>
      <c r="V125" s="29">
        <f t="shared" ref="V125:V144" si="76">V$96+V$4/T$4/100</f>
        <v>1.9125000000000003E-2</v>
      </c>
      <c r="AA125" s="30">
        <v>121</v>
      </c>
      <c r="AB125" s="12">
        <v>41029</v>
      </c>
      <c r="AC125" s="15">
        <f t="shared" si="71"/>
        <v>2.4333333333333332E-2</v>
      </c>
      <c r="AI125" s="60">
        <v>121</v>
      </c>
      <c r="AJ125" s="63">
        <v>41760</v>
      </c>
      <c r="AK125" s="61">
        <f t="shared" si="62"/>
        <v>1.7000000000000001E-2</v>
      </c>
      <c r="AL125" s="58">
        <v>42125</v>
      </c>
      <c r="AM125" s="61">
        <f t="shared" si="63"/>
        <v>1.7000000000000001E-2</v>
      </c>
      <c r="AO125" s="63">
        <v>41760</v>
      </c>
      <c r="AP125" s="61">
        <f t="shared" si="64"/>
        <v>1.9666666666666666E-2</v>
      </c>
      <c r="AQ125" s="58">
        <v>42125</v>
      </c>
      <c r="AR125" s="61">
        <f t="shared" si="65"/>
        <v>1.5666666666666666E-2</v>
      </c>
    </row>
    <row r="126" spans="4:44">
      <c r="D126" s="14">
        <v>122</v>
      </c>
      <c r="E126" s="12">
        <v>41396</v>
      </c>
      <c r="F126" s="15">
        <f t="shared" si="72"/>
        <v>2.5875000000000006E-2</v>
      </c>
      <c r="H126" s="14">
        <v>122</v>
      </c>
      <c r="I126" s="12">
        <v>41761</v>
      </c>
      <c r="J126" s="15">
        <f t="shared" si="73"/>
        <v>2.4374999999999997E-2</v>
      </c>
      <c r="K126" s="4"/>
      <c r="L126" s="14">
        <v>122</v>
      </c>
      <c r="M126" s="12">
        <v>42126</v>
      </c>
      <c r="N126" s="15">
        <f t="shared" si="74"/>
        <v>2.0625000000000004E-2</v>
      </c>
      <c r="O126" s="31"/>
      <c r="P126" s="14">
        <v>122</v>
      </c>
      <c r="Q126" s="12">
        <v>41761</v>
      </c>
      <c r="R126" s="15">
        <f t="shared" si="75"/>
        <v>1.9125000000000003E-2</v>
      </c>
      <c r="S126" s="4"/>
      <c r="T126" s="14">
        <v>122</v>
      </c>
      <c r="U126" s="12">
        <v>42126</v>
      </c>
      <c r="V126" s="15">
        <f t="shared" si="76"/>
        <v>1.9125000000000003E-2</v>
      </c>
      <c r="AA126" s="30">
        <v>122</v>
      </c>
      <c r="AB126" s="28">
        <v>41030</v>
      </c>
      <c r="AC126" s="29">
        <f t="shared" ref="AC126:AC145" si="77">AC$96+AC$4/AA$4/100</f>
        <v>2.7375E-2</v>
      </c>
      <c r="AI126" s="60">
        <v>122</v>
      </c>
      <c r="AJ126" s="58">
        <v>41761</v>
      </c>
      <c r="AK126" s="61">
        <f t="shared" si="62"/>
        <v>1.7000000000000001E-2</v>
      </c>
      <c r="AL126" s="58">
        <v>42126</v>
      </c>
      <c r="AM126" s="61">
        <f t="shared" si="63"/>
        <v>1.7000000000000001E-2</v>
      </c>
      <c r="AO126" s="58">
        <v>41761</v>
      </c>
      <c r="AP126" s="61">
        <f t="shared" si="64"/>
        <v>1.9666666666666666E-2</v>
      </c>
      <c r="AQ126" s="58">
        <v>42126</v>
      </c>
      <c r="AR126" s="61">
        <f t="shared" si="65"/>
        <v>1.5666666666666666E-2</v>
      </c>
    </row>
    <row r="127" spans="4:44">
      <c r="D127" s="14">
        <v>123</v>
      </c>
      <c r="E127" s="12">
        <v>41397</v>
      </c>
      <c r="F127" s="15">
        <f t="shared" si="72"/>
        <v>2.5875000000000006E-2</v>
      </c>
      <c r="H127" s="14">
        <v>123</v>
      </c>
      <c r="I127" s="12">
        <v>41762</v>
      </c>
      <c r="J127" s="15">
        <f t="shared" si="73"/>
        <v>2.4374999999999997E-2</v>
      </c>
      <c r="K127" s="4"/>
      <c r="L127" s="14">
        <v>123</v>
      </c>
      <c r="M127" s="12">
        <v>42127</v>
      </c>
      <c r="N127" s="15">
        <f t="shared" si="74"/>
        <v>2.0625000000000004E-2</v>
      </c>
      <c r="O127" s="31"/>
      <c r="P127" s="14">
        <v>123</v>
      </c>
      <c r="Q127" s="12">
        <v>41762</v>
      </c>
      <c r="R127" s="15">
        <f t="shared" si="75"/>
        <v>1.9125000000000003E-2</v>
      </c>
      <c r="S127" s="4"/>
      <c r="T127" s="14">
        <v>123</v>
      </c>
      <c r="U127" s="12">
        <v>42127</v>
      </c>
      <c r="V127" s="15">
        <f t="shared" si="76"/>
        <v>1.9125000000000003E-2</v>
      </c>
      <c r="AA127" s="14">
        <v>123</v>
      </c>
      <c r="AB127" s="12">
        <v>41031</v>
      </c>
      <c r="AC127" s="15">
        <f t="shared" si="77"/>
        <v>2.7375E-2</v>
      </c>
      <c r="AI127" s="60">
        <v>123</v>
      </c>
      <c r="AJ127" s="58">
        <v>41762</v>
      </c>
      <c r="AK127" s="61">
        <f t="shared" si="62"/>
        <v>1.7000000000000001E-2</v>
      </c>
      <c r="AL127" s="58">
        <v>42127</v>
      </c>
      <c r="AM127" s="61">
        <f t="shared" si="63"/>
        <v>1.7000000000000001E-2</v>
      </c>
      <c r="AO127" s="58">
        <v>41762</v>
      </c>
      <c r="AP127" s="61">
        <f t="shared" si="64"/>
        <v>1.9666666666666666E-2</v>
      </c>
      <c r="AQ127" s="58">
        <v>42127</v>
      </c>
      <c r="AR127" s="61">
        <f t="shared" si="65"/>
        <v>1.5666666666666666E-2</v>
      </c>
    </row>
    <row r="128" spans="4:44">
      <c r="D128" s="14">
        <v>124</v>
      </c>
      <c r="E128" s="12">
        <v>41398</v>
      </c>
      <c r="F128" s="15">
        <f t="shared" si="72"/>
        <v>2.5875000000000006E-2</v>
      </c>
      <c r="H128" s="14">
        <v>124</v>
      </c>
      <c r="I128" s="12">
        <v>41763</v>
      </c>
      <c r="J128" s="15">
        <f t="shared" si="73"/>
        <v>2.4374999999999997E-2</v>
      </c>
      <c r="K128" s="4"/>
      <c r="L128" s="14">
        <v>124</v>
      </c>
      <c r="M128" s="12">
        <v>42128</v>
      </c>
      <c r="N128" s="15">
        <f t="shared" si="74"/>
        <v>2.0625000000000004E-2</v>
      </c>
      <c r="O128" s="31"/>
      <c r="P128" s="14">
        <v>124</v>
      </c>
      <c r="Q128" s="12">
        <v>41763</v>
      </c>
      <c r="R128" s="15">
        <f t="shared" si="75"/>
        <v>1.9125000000000003E-2</v>
      </c>
      <c r="S128" s="4"/>
      <c r="T128" s="14">
        <v>124</v>
      </c>
      <c r="U128" s="12">
        <v>42128</v>
      </c>
      <c r="V128" s="15">
        <f t="shared" si="76"/>
        <v>1.9125000000000003E-2</v>
      </c>
      <c r="AA128" s="14">
        <v>124</v>
      </c>
      <c r="AB128" s="12">
        <v>41032</v>
      </c>
      <c r="AC128" s="15">
        <f t="shared" si="77"/>
        <v>2.7375E-2</v>
      </c>
      <c r="AI128" s="60">
        <v>124</v>
      </c>
      <c r="AJ128" s="58">
        <v>41763</v>
      </c>
      <c r="AK128" s="61">
        <f t="shared" si="62"/>
        <v>1.7000000000000001E-2</v>
      </c>
      <c r="AL128" s="58">
        <v>42128</v>
      </c>
      <c r="AM128" s="61">
        <f t="shared" si="63"/>
        <v>1.7000000000000001E-2</v>
      </c>
      <c r="AO128" s="58">
        <v>41763</v>
      </c>
      <c r="AP128" s="61">
        <f t="shared" si="64"/>
        <v>1.9666666666666666E-2</v>
      </c>
      <c r="AQ128" s="58">
        <v>42128</v>
      </c>
      <c r="AR128" s="61">
        <f t="shared" si="65"/>
        <v>1.5666666666666666E-2</v>
      </c>
    </row>
    <row r="129" spans="4:44">
      <c r="D129" s="14">
        <v>125</v>
      </c>
      <c r="E129" s="12">
        <v>41399</v>
      </c>
      <c r="F129" s="15">
        <f t="shared" si="72"/>
        <v>2.5875000000000006E-2</v>
      </c>
      <c r="H129" s="14">
        <v>125</v>
      </c>
      <c r="I129" s="12">
        <v>41764</v>
      </c>
      <c r="J129" s="15">
        <f t="shared" si="73"/>
        <v>2.4374999999999997E-2</v>
      </c>
      <c r="K129" s="4"/>
      <c r="L129" s="14">
        <v>125</v>
      </c>
      <c r="M129" s="12">
        <v>42129</v>
      </c>
      <c r="N129" s="15">
        <f t="shared" si="74"/>
        <v>2.0625000000000004E-2</v>
      </c>
      <c r="O129" s="31"/>
      <c r="P129" s="14">
        <v>125</v>
      </c>
      <c r="Q129" s="12">
        <v>41764</v>
      </c>
      <c r="R129" s="15">
        <f t="shared" si="75"/>
        <v>1.9125000000000003E-2</v>
      </c>
      <c r="S129" s="4"/>
      <c r="T129" s="14">
        <v>125</v>
      </c>
      <c r="U129" s="12">
        <v>42129</v>
      </c>
      <c r="V129" s="15">
        <f t="shared" si="76"/>
        <v>1.9125000000000003E-2</v>
      </c>
      <c r="AA129" s="14">
        <v>125</v>
      </c>
      <c r="AB129" s="12">
        <v>41033</v>
      </c>
      <c r="AC129" s="15">
        <f t="shared" si="77"/>
        <v>2.7375E-2</v>
      </c>
      <c r="AI129" s="60">
        <v>125</v>
      </c>
      <c r="AJ129" s="58">
        <v>41764</v>
      </c>
      <c r="AK129" s="61">
        <f t="shared" si="62"/>
        <v>1.7000000000000001E-2</v>
      </c>
      <c r="AL129" s="58">
        <v>42129</v>
      </c>
      <c r="AM129" s="61">
        <f t="shared" si="63"/>
        <v>1.7000000000000001E-2</v>
      </c>
      <c r="AO129" s="58">
        <v>41764</v>
      </c>
      <c r="AP129" s="61">
        <f t="shared" si="64"/>
        <v>1.9666666666666666E-2</v>
      </c>
      <c r="AQ129" s="58">
        <v>42129</v>
      </c>
      <c r="AR129" s="61">
        <f t="shared" si="65"/>
        <v>1.5666666666666666E-2</v>
      </c>
    </row>
    <row r="130" spans="4:44">
      <c r="D130" s="14">
        <v>126</v>
      </c>
      <c r="E130" s="12">
        <v>41400</v>
      </c>
      <c r="F130" s="15">
        <f t="shared" si="72"/>
        <v>2.5875000000000006E-2</v>
      </c>
      <c r="H130" s="14">
        <v>126</v>
      </c>
      <c r="I130" s="12">
        <v>41765</v>
      </c>
      <c r="J130" s="15">
        <f t="shared" si="73"/>
        <v>2.4374999999999997E-2</v>
      </c>
      <c r="K130" s="4"/>
      <c r="L130" s="14">
        <v>126</v>
      </c>
      <c r="M130" s="12">
        <v>42130</v>
      </c>
      <c r="N130" s="15">
        <f t="shared" si="74"/>
        <v>2.0625000000000004E-2</v>
      </c>
      <c r="O130" s="31"/>
      <c r="P130" s="14">
        <v>126</v>
      </c>
      <c r="Q130" s="12">
        <v>41765</v>
      </c>
      <c r="R130" s="15">
        <f t="shared" si="75"/>
        <v>1.9125000000000003E-2</v>
      </c>
      <c r="S130" s="4"/>
      <c r="T130" s="14">
        <v>126</v>
      </c>
      <c r="U130" s="12">
        <v>42130</v>
      </c>
      <c r="V130" s="15">
        <f t="shared" si="76"/>
        <v>1.9125000000000003E-2</v>
      </c>
      <c r="AA130" s="14">
        <v>126</v>
      </c>
      <c r="AB130" s="12">
        <v>41034</v>
      </c>
      <c r="AC130" s="15">
        <f t="shared" si="77"/>
        <v>2.7375E-2</v>
      </c>
      <c r="AI130" s="60">
        <v>126</v>
      </c>
      <c r="AJ130" s="58">
        <v>41765</v>
      </c>
      <c r="AK130" s="64">
        <f t="shared" ref="AK130:AK160" si="78">AK$129+AK$4/AI$4/100</f>
        <v>2.1250000000000002E-2</v>
      </c>
      <c r="AL130" s="58">
        <v>42130</v>
      </c>
      <c r="AM130" s="64">
        <f t="shared" ref="AM130:AM160" si="79">AM$129+AM$4/AI$4/100</f>
        <v>2.1250000000000002E-2</v>
      </c>
      <c r="AO130" s="58">
        <v>41765</v>
      </c>
      <c r="AP130" s="64">
        <f t="shared" ref="AP130:AP160" si="80">AP$129+AP$4/AI$4/100</f>
        <v>2.4583333333333332E-2</v>
      </c>
      <c r="AQ130" s="58">
        <v>42130</v>
      </c>
      <c r="AR130" s="64">
        <f t="shared" ref="AR130:AR160" si="81">AR$129+AR$4/AI$4/100</f>
        <v>1.9583333333333331E-2</v>
      </c>
    </row>
    <row r="131" spans="4:44">
      <c r="D131" s="14">
        <v>127</v>
      </c>
      <c r="E131" s="12">
        <v>41401</v>
      </c>
      <c r="F131" s="15">
        <f t="shared" si="72"/>
        <v>2.5875000000000006E-2</v>
      </c>
      <c r="H131" s="14">
        <v>127</v>
      </c>
      <c r="I131" s="12">
        <v>41766</v>
      </c>
      <c r="J131" s="15">
        <f t="shared" si="73"/>
        <v>2.4374999999999997E-2</v>
      </c>
      <c r="K131" s="4"/>
      <c r="L131" s="14">
        <v>127</v>
      </c>
      <c r="M131" s="12">
        <v>42131</v>
      </c>
      <c r="N131" s="15">
        <f t="shared" si="74"/>
        <v>2.0625000000000004E-2</v>
      </c>
      <c r="O131" s="31"/>
      <c r="P131" s="14">
        <v>127</v>
      </c>
      <c r="Q131" s="12">
        <v>41766</v>
      </c>
      <c r="R131" s="15">
        <f t="shared" si="75"/>
        <v>1.9125000000000003E-2</v>
      </c>
      <c r="S131" s="4"/>
      <c r="T131" s="14">
        <v>127</v>
      </c>
      <c r="U131" s="12">
        <v>42131</v>
      </c>
      <c r="V131" s="15">
        <f t="shared" si="76"/>
        <v>1.9125000000000003E-2</v>
      </c>
      <c r="AA131" s="14">
        <v>127</v>
      </c>
      <c r="AB131" s="12">
        <v>41035</v>
      </c>
      <c r="AC131" s="15">
        <f t="shared" si="77"/>
        <v>2.7375E-2</v>
      </c>
      <c r="AI131" s="60">
        <v>127</v>
      </c>
      <c r="AJ131" s="58">
        <v>41766</v>
      </c>
      <c r="AK131" s="61">
        <f t="shared" si="78"/>
        <v>2.1250000000000002E-2</v>
      </c>
      <c r="AL131" s="58">
        <v>42131</v>
      </c>
      <c r="AM131" s="61">
        <f t="shared" si="79"/>
        <v>2.1250000000000002E-2</v>
      </c>
      <c r="AO131" s="58">
        <v>41766</v>
      </c>
      <c r="AP131" s="61">
        <f t="shared" si="80"/>
        <v>2.4583333333333332E-2</v>
      </c>
      <c r="AQ131" s="58">
        <v>42131</v>
      </c>
      <c r="AR131" s="61">
        <f t="shared" si="81"/>
        <v>1.9583333333333331E-2</v>
      </c>
    </row>
    <row r="132" spans="4:44">
      <c r="D132" s="14">
        <v>128</v>
      </c>
      <c r="E132" s="12">
        <v>41402</v>
      </c>
      <c r="F132" s="15">
        <f t="shared" si="72"/>
        <v>2.5875000000000006E-2</v>
      </c>
      <c r="H132" s="14">
        <v>128</v>
      </c>
      <c r="I132" s="12">
        <v>41767</v>
      </c>
      <c r="J132" s="15">
        <f t="shared" si="73"/>
        <v>2.4374999999999997E-2</v>
      </c>
      <c r="K132" s="4"/>
      <c r="L132" s="14">
        <v>128</v>
      </c>
      <c r="M132" s="12">
        <v>42132</v>
      </c>
      <c r="N132" s="15">
        <f t="shared" si="74"/>
        <v>2.0625000000000004E-2</v>
      </c>
      <c r="O132" s="31"/>
      <c r="P132" s="14">
        <v>128</v>
      </c>
      <c r="Q132" s="12">
        <v>41767</v>
      </c>
      <c r="R132" s="15">
        <f t="shared" si="75"/>
        <v>1.9125000000000003E-2</v>
      </c>
      <c r="S132" s="4"/>
      <c r="T132" s="14">
        <v>128</v>
      </c>
      <c r="U132" s="12">
        <v>42132</v>
      </c>
      <c r="V132" s="15">
        <f t="shared" si="76"/>
        <v>1.9125000000000003E-2</v>
      </c>
      <c r="AA132" s="14">
        <v>128</v>
      </c>
      <c r="AB132" s="12">
        <v>41036</v>
      </c>
      <c r="AC132" s="15">
        <f t="shared" si="77"/>
        <v>2.7375E-2</v>
      </c>
      <c r="AI132" s="60">
        <v>128</v>
      </c>
      <c r="AJ132" s="58">
        <v>41767</v>
      </c>
      <c r="AK132" s="61">
        <f t="shared" si="78"/>
        <v>2.1250000000000002E-2</v>
      </c>
      <c r="AL132" s="58">
        <v>42132</v>
      </c>
      <c r="AM132" s="61">
        <f t="shared" si="79"/>
        <v>2.1250000000000002E-2</v>
      </c>
      <c r="AO132" s="58">
        <v>41767</v>
      </c>
      <c r="AP132" s="61">
        <f t="shared" si="80"/>
        <v>2.4583333333333332E-2</v>
      </c>
      <c r="AQ132" s="58">
        <v>42132</v>
      </c>
      <c r="AR132" s="61">
        <f t="shared" si="81"/>
        <v>1.9583333333333331E-2</v>
      </c>
    </row>
    <row r="133" spans="4:44">
      <c r="D133" s="14">
        <v>129</v>
      </c>
      <c r="E133" s="12">
        <v>41403</v>
      </c>
      <c r="F133" s="15">
        <f t="shared" si="72"/>
        <v>2.5875000000000006E-2</v>
      </c>
      <c r="H133" s="14">
        <v>129</v>
      </c>
      <c r="I133" s="12">
        <v>41768</v>
      </c>
      <c r="J133" s="15">
        <f t="shared" si="73"/>
        <v>2.4374999999999997E-2</v>
      </c>
      <c r="K133" s="4"/>
      <c r="L133" s="14">
        <v>129</v>
      </c>
      <c r="M133" s="12">
        <v>42133</v>
      </c>
      <c r="N133" s="15">
        <f t="shared" si="74"/>
        <v>2.0625000000000004E-2</v>
      </c>
      <c r="O133" s="31"/>
      <c r="P133" s="14">
        <v>129</v>
      </c>
      <c r="Q133" s="12">
        <v>41768</v>
      </c>
      <c r="R133" s="15">
        <f t="shared" si="75"/>
        <v>1.9125000000000003E-2</v>
      </c>
      <c r="S133" s="4"/>
      <c r="T133" s="14">
        <v>129</v>
      </c>
      <c r="U133" s="12">
        <v>42133</v>
      </c>
      <c r="V133" s="15">
        <f t="shared" si="76"/>
        <v>1.9125000000000003E-2</v>
      </c>
      <c r="AA133" s="14">
        <v>129</v>
      </c>
      <c r="AB133" s="12">
        <v>41037</v>
      </c>
      <c r="AC133" s="15">
        <f t="shared" si="77"/>
        <v>2.7375E-2</v>
      </c>
      <c r="AI133" s="60">
        <v>129</v>
      </c>
      <c r="AJ133" s="58">
        <v>41768</v>
      </c>
      <c r="AK133" s="61">
        <f t="shared" si="78"/>
        <v>2.1250000000000002E-2</v>
      </c>
      <c r="AL133" s="58">
        <v>42133</v>
      </c>
      <c r="AM133" s="61">
        <f t="shared" si="79"/>
        <v>2.1250000000000002E-2</v>
      </c>
      <c r="AO133" s="58">
        <v>41768</v>
      </c>
      <c r="AP133" s="61">
        <f t="shared" si="80"/>
        <v>2.4583333333333332E-2</v>
      </c>
      <c r="AQ133" s="58">
        <v>42133</v>
      </c>
      <c r="AR133" s="61">
        <f t="shared" si="81"/>
        <v>1.9583333333333331E-2</v>
      </c>
    </row>
    <row r="134" spans="4:44">
      <c r="D134" s="14">
        <v>130</v>
      </c>
      <c r="E134" s="12">
        <v>41404</v>
      </c>
      <c r="F134" s="15">
        <f t="shared" si="72"/>
        <v>2.5875000000000006E-2</v>
      </c>
      <c r="H134" s="14">
        <v>130</v>
      </c>
      <c r="I134" s="12">
        <v>41769</v>
      </c>
      <c r="J134" s="15">
        <f t="shared" si="73"/>
        <v>2.4374999999999997E-2</v>
      </c>
      <c r="K134" s="4"/>
      <c r="L134" s="14">
        <v>130</v>
      </c>
      <c r="M134" s="12">
        <v>42134</v>
      </c>
      <c r="N134" s="15">
        <f t="shared" si="74"/>
        <v>2.0625000000000004E-2</v>
      </c>
      <c r="O134" s="31"/>
      <c r="P134" s="14">
        <v>130</v>
      </c>
      <c r="Q134" s="12">
        <v>41769</v>
      </c>
      <c r="R134" s="15">
        <f t="shared" si="75"/>
        <v>1.9125000000000003E-2</v>
      </c>
      <c r="S134" s="4"/>
      <c r="T134" s="14">
        <v>130</v>
      </c>
      <c r="U134" s="12">
        <v>42134</v>
      </c>
      <c r="V134" s="15">
        <f t="shared" si="76"/>
        <v>1.9125000000000003E-2</v>
      </c>
      <c r="AA134" s="14">
        <v>130</v>
      </c>
      <c r="AB134" s="12">
        <v>41038</v>
      </c>
      <c r="AC134" s="15">
        <f t="shared" si="77"/>
        <v>2.7375E-2</v>
      </c>
      <c r="AI134" s="60">
        <v>130</v>
      </c>
      <c r="AJ134" s="58">
        <v>41769</v>
      </c>
      <c r="AK134" s="61">
        <f t="shared" si="78"/>
        <v>2.1250000000000002E-2</v>
      </c>
      <c r="AL134" s="58">
        <v>42134</v>
      </c>
      <c r="AM134" s="61">
        <f t="shared" si="79"/>
        <v>2.1250000000000002E-2</v>
      </c>
      <c r="AO134" s="58">
        <v>41769</v>
      </c>
      <c r="AP134" s="61">
        <f t="shared" si="80"/>
        <v>2.4583333333333332E-2</v>
      </c>
      <c r="AQ134" s="58">
        <v>42134</v>
      </c>
      <c r="AR134" s="61">
        <f t="shared" si="81"/>
        <v>1.9583333333333331E-2</v>
      </c>
    </row>
    <row r="135" spans="4:44">
      <c r="D135" s="14">
        <v>131</v>
      </c>
      <c r="E135" s="12">
        <v>41405</v>
      </c>
      <c r="F135" s="15">
        <f t="shared" si="72"/>
        <v>2.5875000000000006E-2</v>
      </c>
      <c r="H135" s="14">
        <v>131</v>
      </c>
      <c r="I135" s="12">
        <v>41770</v>
      </c>
      <c r="J135" s="15">
        <f t="shared" si="73"/>
        <v>2.4374999999999997E-2</v>
      </c>
      <c r="K135" s="4"/>
      <c r="L135" s="14">
        <v>131</v>
      </c>
      <c r="M135" s="12">
        <v>42135</v>
      </c>
      <c r="N135" s="15">
        <f t="shared" si="74"/>
        <v>2.0625000000000004E-2</v>
      </c>
      <c r="O135" s="31"/>
      <c r="P135" s="14">
        <v>131</v>
      </c>
      <c r="Q135" s="12">
        <v>41770</v>
      </c>
      <c r="R135" s="15">
        <f t="shared" si="75"/>
        <v>1.9125000000000003E-2</v>
      </c>
      <c r="S135" s="4"/>
      <c r="T135" s="14">
        <v>131</v>
      </c>
      <c r="U135" s="12">
        <v>42135</v>
      </c>
      <c r="V135" s="15">
        <f t="shared" si="76"/>
        <v>1.9125000000000003E-2</v>
      </c>
      <c r="AA135" s="14">
        <v>131</v>
      </c>
      <c r="AB135" s="12">
        <v>41039</v>
      </c>
      <c r="AC135" s="15">
        <f t="shared" si="77"/>
        <v>2.7375E-2</v>
      </c>
      <c r="AI135" s="60">
        <v>131</v>
      </c>
      <c r="AJ135" s="58">
        <v>41770</v>
      </c>
      <c r="AK135" s="61">
        <f t="shared" si="78"/>
        <v>2.1250000000000002E-2</v>
      </c>
      <c r="AL135" s="58">
        <v>42135</v>
      </c>
      <c r="AM135" s="61">
        <f t="shared" si="79"/>
        <v>2.1250000000000002E-2</v>
      </c>
      <c r="AO135" s="58">
        <v>41770</v>
      </c>
      <c r="AP135" s="61">
        <f t="shared" si="80"/>
        <v>2.4583333333333332E-2</v>
      </c>
      <c r="AQ135" s="58">
        <v>42135</v>
      </c>
      <c r="AR135" s="61">
        <f t="shared" si="81"/>
        <v>1.9583333333333331E-2</v>
      </c>
    </row>
    <row r="136" spans="4:44">
      <c r="D136" s="14">
        <v>132</v>
      </c>
      <c r="E136" s="12">
        <v>41406</v>
      </c>
      <c r="F136" s="15">
        <f t="shared" si="72"/>
        <v>2.5875000000000006E-2</v>
      </c>
      <c r="H136" s="14">
        <v>132</v>
      </c>
      <c r="I136" s="12">
        <v>41771</v>
      </c>
      <c r="J136" s="15">
        <f t="shared" si="73"/>
        <v>2.4374999999999997E-2</v>
      </c>
      <c r="K136" s="4"/>
      <c r="L136" s="14">
        <v>132</v>
      </c>
      <c r="M136" s="12">
        <v>42136</v>
      </c>
      <c r="N136" s="15">
        <f t="shared" si="74"/>
        <v>2.0625000000000004E-2</v>
      </c>
      <c r="O136" s="31"/>
      <c r="P136" s="14">
        <v>132</v>
      </c>
      <c r="Q136" s="12">
        <v>41771</v>
      </c>
      <c r="R136" s="15">
        <f t="shared" si="75"/>
        <v>1.9125000000000003E-2</v>
      </c>
      <c r="S136" s="4"/>
      <c r="T136" s="14">
        <v>132</v>
      </c>
      <c r="U136" s="12">
        <v>42136</v>
      </c>
      <c r="V136" s="15">
        <f t="shared" si="76"/>
        <v>1.9125000000000003E-2</v>
      </c>
      <c r="AA136" s="14">
        <v>132</v>
      </c>
      <c r="AB136" s="12">
        <v>41040</v>
      </c>
      <c r="AC136" s="15">
        <f t="shared" si="77"/>
        <v>2.7375E-2</v>
      </c>
      <c r="AI136" s="60">
        <v>132</v>
      </c>
      <c r="AJ136" s="58">
        <v>41771</v>
      </c>
      <c r="AK136" s="61">
        <f t="shared" si="78"/>
        <v>2.1250000000000002E-2</v>
      </c>
      <c r="AL136" s="58">
        <v>42136</v>
      </c>
      <c r="AM136" s="61">
        <f t="shared" si="79"/>
        <v>2.1250000000000002E-2</v>
      </c>
      <c r="AO136" s="58">
        <v>41771</v>
      </c>
      <c r="AP136" s="61">
        <f t="shared" si="80"/>
        <v>2.4583333333333332E-2</v>
      </c>
      <c r="AQ136" s="58">
        <v>42136</v>
      </c>
      <c r="AR136" s="61">
        <f t="shared" si="81"/>
        <v>1.9583333333333331E-2</v>
      </c>
    </row>
    <row r="137" spans="4:44">
      <c r="D137" s="14">
        <v>133</v>
      </c>
      <c r="E137" s="12">
        <v>41407</v>
      </c>
      <c r="F137" s="15">
        <f t="shared" si="72"/>
        <v>2.5875000000000006E-2</v>
      </c>
      <c r="H137" s="14">
        <v>133</v>
      </c>
      <c r="I137" s="12">
        <v>41772</v>
      </c>
      <c r="J137" s="15">
        <f t="shared" si="73"/>
        <v>2.4374999999999997E-2</v>
      </c>
      <c r="K137" s="4"/>
      <c r="L137" s="14">
        <v>133</v>
      </c>
      <c r="M137" s="12">
        <v>42137</v>
      </c>
      <c r="N137" s="15">
        <f t="shared" si="74"/>
        <v>2.0625000000000004E-2</v>
      </c>
      <c r="O137" s="31"/>
      <c r="P137" s="14">
        <v>133</v>
      </c>
      <c r="Q137" s="12">
        <v>41772</v>
      </c>
      <c r="R137" s="15">
        <f t="shared" si="75"/>
        <v>1.9125000000000003E-2</v>
      </c>
      <c r="S137" s="4"/>
      <c r="T137" s="14">
        <v>133</v>
      </c>
      <c r="U137" s="12">
        <v>42137</v>
      </c>
      <c r="V137" s="15">
        <f t="shared" si="76"/>
        <v>1.9125000000000003E-2</v>
      </c>
      <c r="AA137" s="14">
        <v>133</v>
      </c>
      <c r="AB137" s="12">
        <v>41041</v>
      </c>
      <c r="AC137" s="15">
        <f t="shared" si="77"/>
        <v>2.7375E-2</v>
      </c>
      <c r="AI137" s="60">
        <v>133</v>
      </c>
      <c r="AJ137" s="58">
        <v>41772</v>
      </c>
      <c r="AK137" s="61">
        <f t="shared" si="78"/>
        <v>2.1250000000000002E-2</v>
      </c>
      <c r="AL137" s="58">
        <v>42137</v>
      </c>
      <c r="AM137" s="61">
        <f t="shared" si="79"/>
        <v>2.1250000000000002E-2</v>
      </c>
      <c r="AO137" s="58">
        <v>41772</v>
      </c>
      <c r="AP137" s="61">
        <f t="shared" si="80"/>
        <v>2.4583333333333332E-2</v>
      </c>
      <c r="AQ137" s="58">
        <v>42137</v>
      </c>
      <c r="AR137" s="61">
        <f t="shared" si="81"/>
        <v>1.9583333333333331E-2</v>
      </c>
    </row>
    <row r="138" spans="4:44">
      <c r="D138" s="14">
        <v>134</v>
      </c>
      <c r="E138" s="12">
        <v>41408</v>
      </c>
      <c r="F138" s="15">
        <f t="shared" si="72"/>
        <v>2.5875000000000006E-2</v>
      </c>
      <c r="H138" s="14">
        <v>134</v>
      </c>
      <c r="I138" s="12">
        <v>41773</v>
      </c>
      <c r="J138" s="15">
        <f t="shared" si="73"/>
        <v>2.4374999999999997E-2</v>
      </c>
      <c r="K138" s="4"/>
      <c r="L138" s="14">
        <v>134</v>
      </c>
      <c r="M138" s="12">
        <v>42138</v>
      </c>
      <c r="N138" s="15">
        <f t="shared" si="74"/>
        <v>2.0625000000000004E-2</v>
      </c>
      <c r="O138" s="31"/>
      <c r="P138" s="14">
        <v>134</v>
      </c>
      <c r="Q138" s="12">
        <v>41773</v>
      </c>
      <c r="R138" s="15">
        <f t="shared" si="75"/>
        <v>1.9125000000000003E-2</v>
      </c>
      <c r="S138" s="4"/>
      <c r="T138" s="14">
        <v>134</v>
      </c>
      <c r="U138" s="12">
        <v>42138</v>
      </c>
      <c r="V138" s="15">
        <f t="shared" si="76"/>
        <v>1.9125000000000003E-2</v>
      </c>
      <c r="AA138" s="14">
        <v>134</v>
      </c>
      <c r="AB138" s="12">
        <v>41042</v>
      </c>
      <c r="AC138" s="15">
        <f t="shared" si="77"/>
        <v>2.7375E-2</v>
      </c>
      <c r="AI138" s="60">
        <v>134</v>
      </c>
      <c r="AJ138" s="58">
        <v>41773</v>
      </c>
      <c r="AK138" s="61">
        <f t="shared" si="78"/>
        <v>2.1250000000000002E-2</v>
      </c>
      <c r="AL138" s="58">
        <v>42138</v>
      </c>
      <c r="AM138" s="61">
        <f t="shared" si="79"/>
        <v>2.1250000000000002E-2</v>
      </c>
      <c r="AO138" s="58">
        <v>41773</v>
      </c>
      <c r="AP138" s="61">
        <f t="shared" si="80"/>
        <v>2.4583333333333332E-2</v>
      </c>
      <c r="AQ138" s="58">
        <v>42138</v>
      </c>
      <c r="AR138" s="61">
        <f t="shared" si="81"/>
        <v>1.9583333333333331E-2</v>
      </c>
    </row>
    <row r="139" spans="4:44">
      <c r="D139" s="14">
        <v>135</v>
      </c>
      <c r="E139" s="12">
        <v>41409</v>
      </c>
      <c r="F139" s="15">
        <f t="shared" si="72"/>
        <v>2.5875000000000006E-2</v>
      </c>
      <c r="H139" s="14">
        <v>135</v>
      </c>
      <c r="I139" s="12">
        <v>41774</v>
      </c>
      <c r="J139" s="15">
        <f t="shared" si="73"/>
        <v>2.4374999999999997E-2</v>
      </c>
      <c r="K139" s="4"/>
      <c r="L139" s="14">
        <v>135</v>
      </c>
      <c r="M139" s="12">
        <v>42139</v>
      </c>
      <c r="N139" s="15">
        <f t="shared" si="74"/>
        <v>2.0625000000000004E-2</v>
      </c>
      <c r="O139" s="31"/>
      <c r="P139" s="14">
        <v>135</v>
      </c>
      <c r="Q139" s="12">
        <v>41774</v>
      </c>
      <c r="R139" s="15">
        <f t="shared" si="75"/>
        <v>1.9125000000000003E-2</v>
      </c>
      <c r="S139" s="4"/>
      <c r="T139" s="14">
        <v>135</v>
      </c>
      <c r="U139" s="12">
        <v>42139</v>
      </c>
      <c r="V139" s="15">
        <f t="shared" si="76"/>
        <v>1.9125000000000003E-2</v>
      </c>
      <c r="AA139" s="14">
        <v>135</v>
      </c>
      <c r="AB139" s="12">
        <v>41043</v>
      </c>
      <c r="AC139" s="15">
        <f t="shared" si="77"/>
        <v>2.7375E-2</v>
      </c>
      <c r="AI139" s="60">
        <v>135</v>
      </c>
      <c r="AJ139" s="58">
        <v>41774</v>
      </c>
      <c r="AK139" s="61">
        <f t="shared" si="78"/>
        <v>2.1250000000000002E-2</v>
      </c>
      <c r="AL139" s="58">
        <v>42139</v>
      </c>
      <c r="AM139" s="61">
        <f t="shared" si="79"/>
        <v>2.1250000000000002E-2</v>
      </c>
      <c r="AO139" s="58">
        <v>41774</v>
      </c>
      <c r="AP139" s="61">
        <f t="shared" si="80"/>
        <v>2.4583333333333332E-2</v>
      </c>
      <c r="AQ139" s="58">
        <v>42139</v>
      </c>
      <c r="AR139" s="61">
        <f t="shared" si="81"/>
        <v>1.9583333333333331E-2</v>
      </c>
    </row>
    <row r="140" spans="4:44">
      <c r="D140" s="14">
        <v>136</v>
      </c>
      <c r="E140" s="12">
        <v>41410</v>
      </c>
      <c r="F140" s="15">
        <f t="shared" si="72"/>
        <v>2.5875000000000006E-2</v>
      </c>
      <c r="H140" s="14">
        <v>136</v>
      </c>
      <c r="I140" s="12">
        <v>41775</v>
      </c>
      <c r="J140" s="15">
        <f t="shared" si="73"/>
        <v>2.4374999999999997E-2</v>
      </c>
      <c r="K140" s="4"/>
      <c r="L140" s="14">
        <v>136</v>
      </c>
      <c r="M140" s="12">
        <v>42140</v>
      </c>
      <c r="N140" s="15">
        <f t="shared" si="74"/>
        <v>2.0625000000000004E-2</v>
      </c>
      <c r="O140" s="31"/>
      <c r="P140" s="14">
        <v>136</v>
      </c>
      <c r="Q140" s="12">
        <v>41775</v>
      </c>
      <c r="R140" s="15">
        <f t="shared" si="75"/>
        <v>1.9125000000000003E-2</v>
      </c>
      <c r="S140" s="4"/>
      <c r="T140" s="14">
        <v>136</v>
      </c>
      <c r="U140" s="12">
        <v>42140</v>
      </c>
      <c r="V140" s="15">
        <f t="shared" si="76"/>
        <v>1.9125000000000003E-2</v>
      </c>
      <c r="AA140" s="14">
        <v>136</v>
      </c>
      <c r="AB140" s="12">
        <v>41044</v>
      </c>
      <c r="AC140" s="15">
        <f t="shared" si="77"/>
        <v>2.7375E-2</v>
      </c>
      <c r="AI140" s="60">
        <v>136</v>
      </c>
      <c r="AJ140" s="58">
        <v>41775</v>
      </c>
      <c r="AK140" s="61">
        <f t="shared" si="78"/>
        <v>2.1250000000000002E-2</v>
      </c>
      <c r="AL140" s="58">
        <v>42140</v>
      </c>
      <c r="AM140" s="61">
        <f t="shared" si="79"/>
        <v>2.1250000000000002E-2</v>
      </c>
      <c r="AO140" s="58">
        <v>41775</v>
      </c>
      <c r="AP140" s="61">
        <f t="shared" si="80"/>
        <v>2.4583333333333332E-2</v>
      </c>
      <c r="AQ140" s="58">
        <v>42140</v>
      </c>
      <c r="AR140" s="61">
        <f t="shared" si="81"/>
        <v>1.9583333333333331E-2</v>
      </c>
    </row>
    <row r="141" spans="4:44">
      <c r="D141" s="14">
        <v>137</v>
      </c>
      <c r="E141" s="12">
        <v>41411</v>
      </c>
      <c r="F141" s="15">
        <f t="shared" si="72"/>
        <v>2.5875000000000006E-2</v>
      </c>
      <c r="H141" s="14">
        <v>137</v>
      </c>
      <c r="I141" s="12">
        <v>41776</v>
      </c>
      <c r="J141" s="15">
        <f t="shared" si="73"/>
        <v>2.4374999999999997E-2</v>
      </c>
      <c r="K141" s="4"/>
      <c r="L141" s="14">
        <v>137</v>
      </c>
      <c r="M141" s="12">
        <v>42141</v>
      </c>
      <c r="N141" s="15">
        <f t="shared" si="74"/>
        <v>2.0625000000000004E-2</v>
      </c>
      <c r="O141" s="31"/>
      <c r="P141" s="14">
        <v>137</v>
      </c>
      <c r="Q141" s="12">
        <v>41776</v>
      </c>
      <c r="R141" s="15">
        <f t="shared" si="75"/>
        <v>1.9125000000000003E-2</v>
      </c>
      <c r="S141" s="4"/>
      <c r="T141" s="14">
        <v>137</v>
      </c>
      <c r="U141" s="12">
        <v>42141</v>
      </c>
      <c r="V141" s="15">
        <f t="shared" si="76"/>
        <v>1.9125000000000003E-2</v>
      </c>
      <c r="AA141" s="14">
        <v>137</v>
      </c>
      <c r="AB141" s="12">
        <v>41045</v>
      </c>
      <c r="AC141" s="15">
        <f t="shared" si="77"/>
        <v>2.7375E-2</v>
      </c>
      <c r="AI141" s="60">
        <v>137</v>
      </c>
      <c r="AJ141" s="58">
        <v>41776</v>
      </c>
      <c r="AK141" s="61">
        <f t="shared" si="78"/>
        <v>2.1250000000000002E-2</v>
      </c>
      <c r="AL141" s="58">
        <v>42141</v>
      </c>
      <c r="AM141" s="61">
        <f t="shared" si="79"/>
        <v>2.1250000000000002E-2</v>
      </c>
      <c r="AO141" s="58">
        <v>41776</v>
      </c>
      <c r="AP141" s="61">
        <f t="shared" si="80"/>
        <v>2.4583333333333332E-2</v>
      </c>
      <c r="AQ141" s="58">
        <v>42141</v>
      </c>
      <c r="AR141" s="61">
        <f t="shared" si="81"/>
        <v>1.9583333333333331E-2</v>
      </c>
    </row>
    <row r="142" spans="4:44">
      <c r="D142" s="14">
        <v>138</v>
      </c>
      <c r="E142" s="12">
        <v>41412</v>
      </c>
      <c r="F142" s="15">
        <f t="shared" si="72"/>
        <v>2.5875000000000006E-2</v>
      </c>
      <c r="H142" s="14">
        <v>138</v>
      </c>
      <c r="I142" s="12">
        <v>41777</v>
      </c>
      <c r="J142" s="15">
        <f t="shared" si="73"/>
        <v>2.4374999999999997E-2</v>
      </c>
      <c r="K142" s="4"/>
      <c r="L142" s="14">
        <v>138</v>
      </c>
      <c r="M142" s="12">
        <v>42142</v>
      </c>
      <c r="N142" s="15">
        <f t="shared" si="74"/>
        <v>2.0625000000000004E-2</v>
      </c>
      <c r="O142" s="31"/>
      <c r="P142" s="14">
        <v>138</v>
      </c>
      <c r="Q142" s="12">
        <v>41777</v>
      </c>
      <c r="R142" s="15">
        <f t="shared" si="75"/>
        <v>1.9125000000000003E-2</v>
      </c>
      <c r="S142" s="4"/>
      <c r="T142" s="14">
        <v>138</v>
      </c>
      <c r="U142" s="12">
        <v>42142</v>
      </c>
      <c r="V142" s="15">
        <f t="shared" si="76"/>
        <v>1.9125000000000003E-2</v>
      </c>
      <c r="AA142" s="14">
        <v>138</v>
      </c>
      <c r="AB142" s="12">
        <v>41046</v>
      </c>
      <c r="AC142" s="15">
        <f t="shared" si="77"/>
        <v>2.7375E-2</v>
      </c>
      <c r="AI142" s="60">
        <v>138</v>
      </c>
      <c r="AJ142" s="58">
        <v>41777</v>
      </c>
      <c r="AK142" s="61">
        <f t="shared" si="78"/>
        <v>2.1250000000000002E-2</v>
      </c>
      <c r="AL142" s="58">
        <v>42142</v>
      </c>
      <c r="AM142" s="61">
        <f t="shared" si="79"/>
        <v>2.1250000000000002E-2</v>
      </c>
      <c r="AO142" s="58">
        <v>41777</v>
      </c>
      <c r="AP142" s="61">
        <f t="shared" si="80"/>
        <v>2.4583333333333332E-2</v>
      </c>
      <c r="AQ142" s="58">
        <v>42142</v>
      </c>
      <c r="AR142" s="61">
        <f t="shared" si="81"/>
        <v>1.9583333333333331E-2</v>
      </c>
    </row>
    <row r="143" spans="4:44">
      <c r="D143" s="14">
        <v>139</v>
      </c>
      <c r="E143" s="12">
        <v>41413</v>
      </c>
      <c r="F143" s="15">
        <f t="shared" si="72"/>
        <v>2.5875000000000006E-2</v>
      </c>
      <c r="H143" s="14">
        <v>139</v>
      </c>
      <c r="I143" s="12">
        <v>41778</v>
      </c>
      <c r="J143" s="15">
        <f t="shared" si="73"/>
        <v>2.4374999999999997E-2</v>
      </c>
      <c r="K143" s="4"/>
      <c r="L143" s="14">
        <v>139</v>
      </c>
      <c r="M143" s="12">
        <v>42143</v>
      </c>
      <c r="N143" s="15">
        <f t="shared" si="74"/>
        <v>2.0625000000000004E-2</v>
      </c>
      <c r="O143" s="31"/>
      <c r="P143" s="14">
        <v>139</v>
      </c>
      <c r="Q143" s="12">
        <v>41778</v>
      </c>
      <c r="R143" s="15">
        <f t="shared" si="75"/>
        <v>1.9125000000000003E-2</v>
      </c>
      <c r="S143" s="4"/>
      <c r="T143" s="14">
        <v>139</v>
      </c>
      <c r="U143" s="12">
        <v>42143</v>
      </c>
      <c r="V143" s="15">
        <f t="shared" si="76"/>
        <v>1.9125000000000003E-2</v>
      </c>
      <c r="AA143" s="14">
        <v>139</v>
      </c>
      <c r="AB143" s="12">
        <v>41047</v>
      </c>
      <c r="AC143" s="15">
        <f t="shared" si="77"/>
        <v>2.7375E-2</v>
      </c>
      <c r="AI143" s="60">
        <v>139</v>
      </c>
      <c r="AJ143" s="58">
        <v>41778</v>
      </c>
      <c r="AK143" s="61">
        <f t="shared" si="78"/>
        <v>2.1250000000000002E-2</v>
      </c>
      <c r="AL143" s="58">
        <v>42143</v>
      </c>
      <c r="AM143" s="61">
        <f t="shared" si="79"/>
        <v>2.1250000000000002E-2</v>
      </c>
      <c r="AO143" s="58">
        <v>41778</v>
      </c>
      <c r="AP143" s="61">
        <f t="shared" si="80"/>
        <v>2.4583333333333332E-2</v>
      </c>
      <c r="AQ143" s="58">
        <v>42143</v>
      </c>
      <c r="AR143" s="61">
        <f t="shared" si="81"/>
        <v>1.9583333333333331E-2</v>
      </c>
    </row>
    <row r="144" spans="4:44">
      <c r="D144" s="14">
        <v>140</v>
      </c>
      <c r="E144" s="12">
        <v>41414</v>
      </c>
      <c r="F144" s="15">
        <f t="shared" si="72"/>
        <v>2.5875000000000006E-2</v>
      </c>
      <c r="H144" s="14">
        <v>140</v>
      </c>
      <c r="I144" s="12">
        <v>41779</v>
      </c>
      <c r="J144" s="15">
        <f t="shared" si="73"/>
        <v>2.4374999999999997E-2</v>
      </c>
      <c r="K144" s="4"/>
      <c r="L144" s="14">
        <v>140</v>
      </c>
      <c r="M144" s="12">
        <v>42144</v>
      </c>
      <c r="N144" s="15">
        <f t="shared" si="74"/>
        <v>2.0625000000000004E-2</v>
      </c>
      <c r="O144" s="31"/>
      <c r="P144" s="14">
        <v>140</v>
      </c>
      <c r="Q144" s="12">
        <v>41779</v>
      </c>
      <c r="R144" s="15">
        <f t="shared" si="75"/>
        <v>1.9125000000000003E-2</v>
      </c>
      <c r="S144" s="4"/>
      <c r="T144" s="14">
        <v>140</v>
      </c>
      <c r="U144" s="12">
        <v>42144</v>
      </c>
      <c r="V144" s="15">
        <f t="shared" si="76"/>
        <v>1.9125000000000003E-2</v>
      </c>
      <c r="AA144" s="14">
        <v>140</v>
      </c>
      <c r="AB144" s="12">
        <v>41048</v>
      </c>
      <c r="AC144" s="15">
        <f t="shared" si="77"/>
        <v>2.7375E-2</v>
      </c>
      <c r="AI144" s="60">
        <v>140</v>
      </c>
      <c r="AJ144" s="58">
        <v>41779</v>
      </c>
      <c r="AK144" s="61">
        <f t="shared" si="78"/>
        <v>2.1250000000000002E-2</v>
      </c>
      <c r="AL144" s="58">
        <v>42144</v>
      </c>
      <c r="AM144" s="61">
        <f t="shared" si="79"/>
        <v>2.1250000000000002E-2</v>
      </c>
      <c r="AO144" s="58">
        <v>41779</v>
      </c>
      <c r="AP144" s="61">
        <f t="shared" si="80"/>
        <v>2.4583333333333332E-2</v>
      </c>
      <c r="AQ144" s="58">
        <v>42144</v>
      </c>
      <c r="AR144" s="61">
        <f t="shared" si="81"/>
        <v>1.9583333333333331E-2</v>
      </c>
    </row>
    <row r="145" spans="4:44">
      <c r="D145" s="14">
        <v>141</v>
      </c>
      <c r="E145" s="12">
        <v>41415</v>
      </c>
      <c r="F145" s="29">
        <f t="shared" ref="F145:F155" si="82">F$115+F$4/D$4/100</f>
        <v>2.8750000000000005E-2</v>
      </c>
      <c r="H145" s="14">
        <v>141</v>
      </c>
      <c r="I145" s="12">
        <v>41780</v>
      </c>
      <c r="J145" s="29">
        <f t="shared" ref="J145:J155" si="83">J$115+J$4/H$4/100</f>
        <v>2.7083333333333331E-2</v>
      </c>
      <c r="K145" s="4"/>
      <c r="L145" s="14">
        <v>141</v>
      </c>
      <c r="M145" s="12">
        <v>42145</v>
      </c>
      <c r="N145" s="29">
        <f t="shared" ref="N145:N155" si="84">N$115+N$4/L$4/100</f>
        <v>2.2916666666666669E-2</v>
      </c>
      <c r="O145" s="31"/>
      <c r="P145" s="14">
        <v>141</v>
      </c>
      <c r="Q145" s="12">
        <v>41780</v>
      </c>
      <c r="R145" s="29">
        <f t="shared" ref="R145:R155" si="85">R$115+R$4/P$4/100</f>
        <v>2.1250000000000002E-2</v>
      </c>
      <c r="S145" s="4"/>
      <c r="T145" s="14">
        <v>141</v>
      </c>
      <c r="U145" s="12">
        <v>42145</v>
      </c>
      <c r="V145" s="29">
        <f t="shared" ref="V145:V155" si="86">V$115+V$4/T$4/100</f>
        <v>2.1250000000000002E-2</v>
      </c>
      <c r="AA145" s="30">
        <v>141</v>
      </c>
      <c r="AB145" s="12">
        <v>41049</v>
      </c>
      <c r="AC145" s="15">
        <f t="shared" si="77"/>
        <v>2.7375E-2</v>
      </c>
      <c r="AI145" s="60">
        <v>141</v>
      </c>
      <c r="AJ145" s="58">
        <v>41780</v>
      </c>
      <c r="AK145" s="61">
        <f t="shared" si="78"/>
        <v>2.1250000000000002E-2</v>
      </c>
      <c r="AL145" s="58">
        <v>42145</v>
      </c>
      <c r="AM145" s="61">
        <f t="shared" si="79"/>
        <v>2.1250000000000002E-2</v>
      </c>
      <c r="AO145" s="58">
        <v>41780</v>
      </c>
      <c r="AP145" s="61">
        <f t="shared" si="80"/>
        <v>2.4583333333333332E-2</v>
      </c>
      <c r="AQ145" s="58">
        <v>42145</v>
      </c>
      <c r="AR145" s="61">
        <f t="shared" si="81"/>
        <v>1.9583333333333331E-2</v>
      </c>
    </row>
    <row r="146" spans="4:44">
      <c r="D146" s="14">
        <v>142</v>
      </c>
      <c r="E146" s="12">
        <v>41416</v>
      </c>
      <c r="F146" s="15">
        <f t="shared" si="82"/>
        <v>2.8750000000000005E-2</v>
      </c>
      <c r="H146" s="14">
        <v>142</v>
      </c>
      <c r="I146" s="12">
        <v>41781</v>
      </c>
      <c r="J146" s="15">
        <f t="shared" si="83"/>
        <v>2.7083333333333331E-2</v>
      </c>
      <c r="K146" s="4"/>
      <c r="L146" s="14">
        <v>142</v>
      </c>
      <c r="M146" s="12">
        <v>42146</v>
      </c>
      <c r="N146" s="15">
        <f t="shared" si="84"/>
        <v>2.2916666666666669E-2</v>
      </c>
      <c r="O146" s="31"/>
      <c r="P146" s="14">
        <v>142</v>
      </c>
      <c r="Q146" s="12">
        <v>41781</v>
      </c>
      <c r="R146" s="15">
        <f t="shared" si="85"/>
        <v>2.1250000000000002E-2</v>
      </c>
      <c r="S146" s="4"/>
      <c r="T146" s="14">
        <v>142</v>
      </c>
      <c r="U146" s="12">
        <v>42146</v>
      </c>
      <c r="V146" s="15">
        <f t="shared" si="86"/>
        <v>2.1250000000000002E-2</v>
      </c>
      <c r="AA146" s="30">
        <v>142</v>
      </c>
      <c r="AB146" s="28">
        <v>41050</v>
      </c>
      <c r="AC146" s="29">
        <f t="shared" ref="AC146:AC156" si="87">AC$116+AC$4/AA$4/100</f>
        <v>3.0416666666666665E-2</v>
      </c>
      <c r="AI146" s="60">
        <v>142</v>
      </c>
      <c r="AJ146" s="58">
        <v>41781</v>
      </c>
      <c r="AK146" s="61">
        <f t="shared" si="78"/>
        <v>2.1250000000000002E-2</v>
      </c>
      <c r="AL146" s="58">
        <v>42146</v>
      </c>
      <c r="AM146" s="61">
        <f t="shared" si="79"/>
        <v>2.1250000000000002E-2</v>
      </c>
      <c r="AO146" s="58">
        <v>41781</v>
      </c>
      <c r="AP146" s="61">
        <f t="shared" si="80"/>
        <v>2.4583333333333332E-2</v>
      </c>
      <c r="AQ146" s="58">
        <v>42146</v>
      </c>
      <c r="AR146" s="61">
        <f t="shared" si="81"/>
        <v>1.9583333333333331E-2</v>
      </c>
    </row>
    <row r="147" spans="4:44">
      <c r="D147" s="14">
        <v>143</v>
      </c>
      <c r="E147" s="12">
        <v>41417</v>
      </c>
      <c r="F147" s="15">
        <f t="shared" si="82"/>
        <v>2.8750000000000005E-2</v>
      </c>
      <c r="H147" s="14">
        <v>143</v>
      </c>
      <c r="I147" s="12">
        <v>41782</v>
      </c>
      <c r="J147" s="15">
        <f t="shared" si="83"/>
        <v>2.7083333333333331E-2</v>
      </c>
      <c r="K147" s="4"/>
      <c r="L147" s="14">
        <v>143</v>
      </c>
      <c r="M147" s="12">
        <v>42147</v>
      </c>
      <c r="N147" s="15">
        <f t="shared" si="84"/>
        <v>2.2916666666666669E-2</v>
      </c>
      <c r="O147" s="31"/>
      <c r="P147" s="14">
        <v>143</v>
      </c>
      <c r="Q147" s="12">
        <v>41782</v>
      </c>
      <c r="R147" s="15">
        <f t="shared" si="85"/>
        <v>2.1250000000000002E-2</v>
      </c>
      <c r="S147" s="4"/>
      <c r="T147" s="14">
        <v>143</v>
      </c>
      <c r="U147" s="12">
        <v>42147</v>
      </c>
      <c r="V147" s="15">
        <f t="shared" si="86"/>
        <v>2.1250000000000002E-2</v>
      </c>
      <c r="AA147" s="14">
        <v>143</v>
      </c>
      <c r="AB147" s="12">
        <v>41051</v>
      </c>
      <c r="AC147" s="15">
        <f t="shared" si="87"/>
        <v>3.0416666666666665E-2</v>
      </c>
      <c r="AI147" s="60">
        <v>143</v>
      </c>
      <c r="AJ147" s="58">
        <v>41782</v>
      </c>
      <c r="AK147" s="61">
        <f t="shared" si="78"/>
        <v>2.1250000000000002E-2</v>
      </c>
      <c r="AL147" s="58">
        <v>42147</v>
      </c>
      <c r="AM147" s="61">
        <f t="shared" si="79"/>
        <v>2.1250000000000002E-2</v>
      </c>
      <c r="AO147" s="58">
        <v>41782</v>
      </c>
      <c r="AP147" s="61">
        <f t="shared" si="80"/>
        <v>2.4583333333333332E-2</v>
      </c>
      <c r="AQ147" s="58">
        <v>42147</v>
      </c>
      <c r="AR147" s="61">
        <f t="shared" si="81"/>
        <v>1.9583333333333331E-2</v>
      </c>
    </row>
    <row r="148" spans="4:44">
      <c r="D148" s="14">
        <v>144</v>
      </c>
      <c r="E148" s="12">
        <v>41418</v>
      </c>
      <c r="F148" s="15">
        <f t="shared" si="82"/>
        <v>2.8750000000000005E-2</v>
      </c>
      <c r="H148" s="14">
        <v>144</v>
      </c>
      <c r="I148" s="12">
        <v>41783</v>
      </c>
      <c r="J148" s="15">
        <f t="shared" si="83"/>
        <v>2.7083333333333331E-2</v>
      </c>
      <c r="K148" s="4"/>
      <c r="L148" s="14">
        <v>144</v>
      </c>
      <c r="M148" s="12">
        <v>42148</v>
      </c>
      <c r="N148" s="15">
        <f t="shared" si="84"/>
        <v>2.2916666666666669E-2</v>
      </c>
      <c r="O148" s="31"/>
      <c r="P148" s="14">
        <v>144</v>
      </c>
      <c r="Q148" s="12">
        <v>41783</v>
      </c>
      <c r="R148" s="15">
        <f t="shared" si="85"/>
        <v>2.1250000000000002E-2</v>
      </c>
      <c r="S148" s="4"/>
      <c r="T148" s="14">
        <v>144</v>
      </c>
      <c r="U148" s="12">
        <v>42148</v>
      </c>
      <c r="V148" s="15">
        <f t="shared" si="86"/>
        <v>2.1250000000000002E-2</v>
      </c>
      <c r="AA148" s="14">
        <v>144</v>
      </c>
      <c r="AB148" s="12">
        <v>41052</v>
      </c>
      <c r="AC148" s="15">
        <f t="shared" si="87"/>
        <v>3.0416666666666665E-2</v>
      </c>
      <c r="AI148" s="60">
        <v>144</v>
      </c>
      <c r="AJ148" s="58">
        <v>41783</v>
      </c>
      <c r="AK148" s="61">
        <f t="shared" si="78"/>
        <v>2.1250000000000002E-2</v>
      </c>
      <c r="AL148" s="58">
        <v>42148</v>
      </c>
      <c r="AM148" s="61">
        <f t="shared" si="79"/>
        <v>2.1250000000000002E-2</v>
      </c>
      <c r="AO148" s="58">
        <v>41783</v>
      </c>
      <c r="AP148" s="61">
        <f t="shared" si="80"/>
        <v>2.4583333333333332E-2</v>
      </c>
      <c r="AQ148" s="58">
        <v>42148</v>
      </c>
      <c r="AR148" s="61">
        <f t="shared" si="81"/>
        <v>1.9583333333333331E-2</v>
      </c>
    </row>
    <row r="149" spans="4:44">
      <c r="D149" s="14">
        <v>145</v>
      </c>
      <c r="E149" s="12">
        <v>41419</v>
      </c>
      <c r="F149" s="15">
        <f t="shared" si="82"/>
        <v>2.8750000000000005E-2</v>
      </c>
      <c r="H149" s="14">
        <v>145</v>
      </c>
      <c r="I149" s="12">
        <v>41784</v>
      </c>
      <c r="J149" s="15">
        <f t="shared" si="83"/>
        <v>2.7083333333333331E-2</v>
      </c>
      <c r="K149" s="4"/>
      <c r="L149" s="14">
        <v>145</v>
      </c>
      <c r="M149" s="12">
        <v>42149</v>
      </c>
      <c r="N149" s="15">
        <f t="shared" si="84"/>
        <v>2.2916666666666669E-2</v>
      </c>
      <c r="O149" s="31"/>
      <c r="P149" s="14">
        <v>145</v>
      </c>
      <c r="Q149" s="12">
        <v>41784</v>
      </c>
      <c r="R149" s="15">
        <f t="shared" si="85"/>
        <v>2.1250000000000002E-2</v>
      </c>
      <c r="S149" s="4"/>
      <c r="T149" s="14">
        <v>145</v>
      </c>
      <c r="U149" s="12">
        <v>42149</v>
      </c>
      <c r="V149" s="15">
        <f t="shared" si="86"/>
        <v>2.1250000000000002E-2</v>
      </c>
      <c r="AA149" s="14">
        <v>145</v>
      </c>
      <c r="AB149" s="12">
        <v>41053</v>
      </c>
      <c r="AC149" s="15">
        <f t="shared" si="87"/>
        <v>3.0416666666666665E-2</v>
      </c>
      <c r="AI149" s="60">
        <v>145</v>
      </c>
      <c r="AJ149" s="58">
        <v>41784</v>
      </c>
      <c r="AK149" s="61">
        <f t="shared" si="78"/>
        <v>2.1250000000000002E-2</v>
      </c>
      <c r="AL149" s="58">
        <v>42149</v>
      </c>
      <c r="AM149" s="61">
        <f t="shared" si="79"/>
        <v>2.1250000000000002E-2</v>
      </c>
      <c r="AO149" s="58">
        <v>41784</v>
      </c>
      <c r="AP149" s="61">
        <f t="shared" si="80"/>
        <v>2.4583333333333332E-2</v>
      </c>
      <c r="AQ149" s="58">
        <v>42149</v>
      </c>
      <c r="AR149" s="61">
        <f t="shared" si="81"/>
        <v>1.9583333333333331E-2</v>
      </c>
    </row>
    <row r="150" spans="4:44">
      <c r="D150" s="14">
        <v>146</v>
      </c>
      <c r="E150" s="12">
        <v>41420</v>
      </c>
      <c r="F150" s="15">
        <f t="shared" si="82"/>
        <v>2.8750000000000005E-2</v>
      </c>
      <c r="H150" s="14">
        <v>146</v>
      </c>
      <c r="I150" s="12">
        <v>41785</v>
      </c>
      <c r="J150" s="15">
        <f t="shared" si="83"/>
        <v>2.7083333333333331E-2</v>
      </c>
      <c r="K150" s="4"/>
      <c r="L150" s="14">
        <v>146</v>
      </c>
      <c r="M150" s="12">
        <v>42150</v>
      </c>
      <c r="N150" s="15">
        <f t="shared" si="84"/>
        <v>2.2916666666666669E-2</v>
      </c>
      <c r="O150" s="31"/>
      <c r="P150" s="14">
        <v>146</v>
      </c>
      <c r="Q150" s="12">
        <v>41785</v>
      </c>
      <c r="R150" s="15">
        <f t="shared" si="85"/>
        <v>2.1250000000000002E-2</v>
      </c>
      <c r="S150" s="4"/>
      <c r="T150" s="14">
        <v>146</v>
      </c>
      <c r="U150" s="12">
        <v>42150</v>
      </c>
      <c r="V150" s="15">
        <f t="shared" si="86"/>
        <v>2.1250000000000002E-2</v>
      </c>
      <c r="AA150" s="14">
        <v>146</v>
      </c>
      <c r="AB150" s="12">
        <v>41054</v>
      </c>
      <c r="AC150" s="15">
        <f t="shared" si="87"/>
        <v>3.0416666666666665E-2</v>
      </c>
      <c r="AI150" s="60">
        <v>146</v>
      </c>
      <c r="AJ150" s="58">
        <v>41785</v>
      </c>
      <c r="AK150" s="61">
        <f t="shared" si="78"/>
        <v>2.1250000000000002E-2</v>
      </c>
      <c r="AL150" s="58">
        <v>42150</v>
      </c>
      <c r="AM150" s="61">
        <f t="shared" si="79"/>
        <v>2.1250000000000002E-2</v>
      </c>
      <c r="AO150" s="58">
        <v>41785</v>
      </c>
      <c r="AP150" s="61">
        <f t="shared" si="80"/>
        <v>2.4583333333333332E-2</v>
      </c>
      <c r="AQ150" s="58">
        <v>42150</v>
      </c>
      <c r="AR150" s="61">
        <f t="shared" si="81"/>
        <v>1.9583333333333331E-2</v>
      </c>
    </row>
    <row r="151" spans="4:44">
      <c r="D151" s="14">
        <v>147</v>
      </c>
      <c r="E151" s="12">
        <v>41421</v>
      </c>
      <c r="F151" s="15">
        <f t="shared" si="82"/>
        <v>2.8750000000000005E-2</v>
      </c>
      <c r="H151" s="14">
        <v>147</v>
      </c>
      <c r="I151" s="12">
        <v>41786</v>
      </c>
      <c r="J151" s="15">
        <f t="shared" si="83"/>
        <v>2.7083333333333331E-2</v>
      </c>
      <c r="K151" s="4"/>
      <c r="L151" s="14">
        <v>147</v>
      </c>
      <c r="M151" s="12">
        <v>42151</v>
      </c>
      <c r="N151" s="15">
        <f t="shared" si="84"/>
        <v>2.2916666666666669E-2</v>
      </c>
      <c r="O151" s="31"/>
      <c r="P151" s="14">
        <v>147</v>
      </c>
      <c r="Q151" s="12">
        <v>41786</v>
      </c>
      <c r="R151" s="15">
        <f t="shared" si="85"/>
        <v>2.1250000000000002E-2</v>
      </c>
      <c r="S151" s="4"/>
      <c r="T151" s="14">
        <v>147</v>
      </c>
      <c r="U151" s="12">
        <v>42151</v>
      </c>
      <c r="V151" s="15">
        <f t="shared" si="86"/>
        <v>2.1250000000000002E-2</v>
      </c>
      <c r="AA151" s="14">
        <v>147</v>
      </c>
      <c r="AB151" s="12">
        <v>41055</v>
      </c>
      <c r="AC151" s="15">
        <f t="shared" si="87"/>
        <v>3.0416666666666665E-2</v>
      </c>
      <c r="AI151" s="60">
        <v>147</v>
      </c>
      <c r="AJ151" s="58">
        <v>41786</v>
      </c>
      <c r="AK151" s="61">
        <f t="shared" si="78"/>
        <v>2.1250000000000002E-2</v>
      </c>
      <c r="AL151" s="58">
        <v>42151</v>
      </c>
      <c r="AM151" s="61">
        <f t="shared" si="79"/>
        <v>2.1250000000000002E-2</v>
      </c>
      <c r="AO151" s="58">
        <v>41786</v>
      </c>
      <c r="AP151" s="61">
        <f t="shared" si="80"/>
        <v>2.4583333333333332E-2</v>
      </c>
      <c r="AQ151" s="58">
        <v>42151</v>
      </c>
      <c r="AR151" s="61">
        <f t="shared" si="81"/>
        <v>1.9583333333333331E-2</v>
      </c>
    </row>
    <row r="152" spans="4:44">
      <c r="D152" s="14">
        <v>148</v>
      </c>
      <c r="E152" s="12">
        <v>41422</v>
      </c>
      <c r="F152" s="15">
        <f t="shared" si="82"/>
        <v>2.8750000000000005E-2</v>
      </c>
      <c r="H152" s="14">
        <v>148</v>
      </c>
      <c r="I152" s="12">
        <v>41787</v>
      </c>
      <c r="J152" s="15">
        <f t="shared" si="83"/>
        <v>2.7083333333333331E-2</v>
      </c>
      <c r="K152" s="4"/>
      <c r="L152" s="14">
        <v>148</v>
      </c>
      <c r="M152" s="12">
        <v>42152</v>
      </c>
      <c r="N152" s="15">
        <f t="shared" si="84"/>
        <v>2.2916666666666669E-2</v>
      </c>
      <c r="O152" s="31"/>
      <c r="P152" s="14">
        <v>148</v>
      </c>
      <c r="Q152" s="12">
        <v>41787</v>
      </c>
      <c r="R152" s="15">
        <f t="shared" si="85"/>
        <v>2.1250000000000002E-2</v>
      </c>
      <c r="S152" s="4"/>
      <c r="T152" s="14">
        <v>148</v>
      </c>
      <c r="U152" s="12">
        <v>42152</v>
      </c>
      <c r="V152" s="15">
        <f t="shared" si="86"/>
        <v>2.1250000000000002E-2</v>
      </c>
      <c r="AA152" s="14">
        <v>148</v>
      </c>
      <c r="AB152" s="12">
        <v>41056</v>
      </c>
      <c r="AC152" s="15">
        <f t="shared" si="87"/>
        <v>3.0416666666666665E-2</v>
      </c>
      <c r="AI152" s="60">
        <v>148</v>
      </c>
      <c r="AJ152" s="58">
        <v>41787</v>
      </c>
      <c r="AK152" s="61">
        <f t="shared" si="78"/>
        <v>2.1250000000000002E-2</v>
      </c>
      <c r="AL152" s="58">
        <v>42152</v>
      </c>
      <c r="AM152" s="61">
        <f t="shared" si="79"/>
        <v>2.1250000000000002E-2</v>
      </c>
      <c r="AO152" s="58">
        <v>41787</v>
      </c>
      <c r="AP152" s="61">
        <f t="shared" si="80"/>
        <v>2.4583333333333332E-2</v>
      </c>
      <c r="AQ152" s="58">
        <v>42152</v>
      </c>
      <c r="AR152" s="61">
        <f t="shared" si="81"/>
        <v>1.9583333333333331E-2</v>
      </c>
    </row>
    <row r="153" spans="4:44">
      <c r="D153" s="14">
        <v>149</v>
      </c>
      <c r="E153" s="12">
        <v>41423</v>
      </c>
      <c r="F153" s="15">
        <f t="shared" si="82"/>
        <v>2.8750000000000005E-2</v>
      </c>
      <c r="H153" s="14">
        <v>149</v>
      </c>
      <c r="I153" s="12">
        <v>41788</v>
      </c>
      <c r="J153" s="15">
        <f t="shared" si="83"/>
        <v>2.7083333333333331E-2</v>
      </c>
      <c r="K153" s="4"/>
      <c r="L153" s="14">
        <v>149</v>
      </c>
      <c r="M153" s="12">
        <v>42153</v>
      </c>
      <c r="N153" s="15">
        <f t="shared" si="84"/>
        <v>2.2916666666666669E-2</v>
      </c>
      <c r="O153" s="31"/>
      <c r="P153" s="14">
        <v>149</v>
      </c>
      <c r="Q153" s="12">
        <v>41788</v>
      </c>
      <c r="R153" s="15">
        <f t="shared" si="85"/>
        <v>2.1250000000000002E-2</v>
      </c>
      <c r="S153" s="4"/>
      <c r="T153" s="14">
        <v>149</v>
      </c>
      <c r="U153" s="12">
        <v>42153</v>
      </c>
      <c r="V153" s="15">
        <f t="shared" si="86"/>
        <v>2.1250000000000002E-2</v>
      </c>
      <c r="AA153" s="14">
        <v>149</v>
      </c>
      <c r="AB153" s="12">
        <v>41057</v>
      </c>
      <c r="AC153" s="15">
        <f t="shared" si="87"/>
        <v>3.0416666666666665E-2</v>
      </c>
      <c r="AI153" s="60">
        <v>149</v>
      </c>
      <c r="AJ153" s="58">
        <v>41788</v>
      </c>
      <c r="AK153" s="61">
        <f t="shared" si="78"/>
        <v>2.1250000000000002E-2</v>
      </c>
      <c r="AL153" s="58">
        <v>42153</v>
      </c>
      <c r="AM153" s="61">
        <f t="shared" si="79"/>
        <v>2.1250000000000002E-2</v>
      </c>
      <c r="AO153" s="58">
        <v>41788</v>
      </c>
      <c r="AP153" s="61">
        <f t="shared" si="80"/>
        <v>2.4583333333333332E-2</v>
      </c>
      <c r="AQ153" s="58">
        <v>42153</v>
      </c>
      <c r="AR153" s="61">
        <f t="shared" si="81"/>
        <v>1.9583333333333331E-2</v>
      </c>
    </row>
    <row r="154" spans="4:44">
      <c r="D154" s="14">
        <v>150</v>
      </c>
      <c r="E154" s="12">
        <v>41424</v>
      </c>
      <c r="F154" s="15">
        <f t="shared" si="82"/>
        <v>2.8750000000000005E-2</v>
      </c>
      <c r="H154" s="14">
        <v>150</v>
      </c>
      <c r="I154" s="12">
        <v>41789</v>
      </c>
      <c r="J154" s="15">
        <f t="shared" si="83"/>
        <v>2.7083333333333331E-2</v>
      </c>
      <c r="K154" s="4"/>
      <c r="L154" s="14">
        <v>150</v>
      </c>
      <c r="M154" s="12">
        <v>42154</v>
      </c>
      <c r="N154" s="15">
        <f t="shared" si="84"/>
        <v>2.2916666666666669E-2</v>
      </c>
      <c r="O154" s="31"/>
      <c r="P154" s="14">
        <v>150</v>
      </c>
      <c r="Q154" s="12">
        <v>41789</v>
      </c>
      <c r="R154" s="15">
        <f t="shared" si="85"/>
        <v>2.1250000000000002E-2</v>
      </c>
      <c r="S154" s="4"/>
      <c r="T154" s="14">
        <v>150</v>
      </c>
      <c r="U154" s="12">
        <v>42154</v>
      </c>
      <c r="V154" s="15">
        <f t="shared" si="86"/>
        <v>2.1250000000000002E-2</v>
      </c>
      <c r="AA154" s="14">
        <v>150</v>
      </c>
      <c r="AB154" s="12">
        <v>41058</v>
      </c>
      <c r="AC154" s="15">
        <f t="shared" si="87"/>
        <v>3.0416666666666665E-2</v>
      </c>
      <c r="AI154" s="60">
        <v>150</v>
      </c>
      <c r="AJ154" s="58">
        <v>41789</v>
      </c>
      <c r="AK154" s="61">
        <f t="shared" si="78"/>
        <v>2.1250000000000002E-2</v>
      </c>
      <c r="AL154" s="58">
        <v>42154</v>
      </c>
      <c r="AM154" s="61">
        <f t="shared" si="79"/>
        <v>2.1250000000000002E-2</v>
      </c>
      <c r="AO154" s="58">
        <v>41789</v>
      </c>
      <c r="AP154" s="61">
        <f t="shared" si="80"/>
        <v>2.4583333333333332E-2</v>
      </c>
      <c r="AQ154" s="58">
        <v>42154</v>
      </c>
      <c r="AR154" s="61">
        <f t="shared" si="81"/>
        <v>1.9583333333333331E-2</v>
      </c>
    </row>
    <row r="155" spans="4:44">
      <c r="D155" s="14">
        <v>151</v>
      </c>
      <c r="E155" s="12">
        <v>41425</v>
      </c>
      <c r="F155" s="15">
        <f t="shared" si="82"/>
        <v>2.8750000000000005E-2</v>
      </c>
      <c r="H155" s="14">
        <v>151</v>
      </c>
      <c r="I155" s="12">
        <v>41790</v>
      </c>
      <c r="J155" s="15">
        <f t="shared" si="83"/>
        <v>2.7083333333333331E-2</v>
      </c>
      <c r="K155" s="4"/>
      <c r="L155" s="14">
        <v>151</v>
      </c>
      <c r="M155" s="12">
        <v>42155</v>
      </c>
      <c r="N155" s="15">
        <f t="shared" si="84"/>
        <v>2.2916666666666669E-2</v>
      </c>
      <c r="O155" s="31"/>
      <c r="P155" s="14">
        <v>151</v>
      </c>
      <c r="Q155" s="12">
        <v>41790</v>
      </c>
      <c r="R155" s="15">
        <f t="shared" si="85"/>
        <v>2.1250000000000002E-2</v>
      </c>
      <c r="S155" s="4"/>
      <c r="T155" s="14">
        <v>151</v>
      </c>
      <c r="U155" s="12">
        <v>42155</v>
      </c>
      <c r="V155" s="15">
        <f t="shared" si="86"/>
        <v>2.1250000000000002E-2</v>
      </c>
      <c r="AA155" s="14">
        <v>151</v>
      </c>
      <c r="AB155" s="12">
        <v>41059</v>
      </c>
      <c r="AC155" s="15">
        <f t="shared" si="87"/>
        <v>3.0416666666666665E-2</v>
      </c>
      <c r="AI155" s="60">
        <v>151</v>
      </c>
      <c r="AJ155" s="58">
        <v>41790</v>
      </c>
      <c r="AK155" s="61">
        <f t="shared" si="78"/>
        <v>2.1250000000000002E-2</v>
      </c>
      <c r="AL155" s="58">
        <v>42155</v>
      </c>
      <c r="AM155" s="61">
        <f t="shared" si="79"/>
        <v>2.1250000000000002E-2</v>
      </c>
      <c r="AO155" s="58">
        <v>41790</v>
      </c>
      <c r="AP155" s="61">
        <f t="shared" si="80"/>
        <v>2.4583333333333332E-2</v>
      </c>
      <c r="AQ155" s="58">
        <v>42155</v>
      </c>
      <c r="AR155" s="61">
        <f t="shared" si="81"/>
        <v>1.9583333333333331E-2</v>
      </c>
    </row>
    <row r="156" spans="4:44">
      <c r="D156" s="14">
        <v>152</v>
      </c>
      <c r="E156" s="12">
        <v>41426</v>
      </c>
      <c r="F156" s="29">
        <f t="shared" ref="F156:F175" si="88">F$125+F$4/D$4/100</f>
        <v>3.1625000000000007E-2</v>
      </c>
      <c r="H156" s="14">
        <v>152</v>
      </c>
      <c r="I156" s="12">
        <v>41791</v>
      </c>
      <c r="J156" s="29">
        <f t="shared" ref="J156:J175" si="89">J$125+J$4/H$4/100</f>
        <v>2.9791666666666664E-2</v>
      </c>
      <c r="K156" s="4"/>
      <c r="L156" s="14">
        <v>152</v>
      </c>
      <c r="M156" s="12">
        <v>42156</v>
      </c>
      <c r="N156" s="29">
        <f t="shared" ref="N156:N175" si="90">N$125+N$4/L$4/100</f>
        <v>2.520833333333334E-2</v>
      </c>
      <c r="O156" s="31"/>
      <c r="P156" s="14">
        <v>152</v>
      </c>
      <c r="Q156" s="12">
        <v>41791</v>
      </c>
      <c r="R156" s="29">
        <f t="shared" ref="R156:R175" si="91">R$125+R$4/P$4/100</f>
        <v>2.3375000000000003E-2</v>
      </c>
      <c r="S156" s="4"/>
      <c r="T156" s="14">
        <v>152</v>
      </c>
      <c r="U156" s="12">
        <v>42156</v>
      </c>
      <c r="V156" s="29">
        <f t="shared" ref="V156:V175" si="92">V$125+V$4/T$4/100</f>
        <v>2.3375000000000003E-2</v>
      </c>
      <c r="AA156" s="30">
        <v>152</v>
      </c>
      <c r="AB156" s="12">
        <v>41060</v>
      </c>
      <c r="AC156" s="15">
        <f t="shared" si="87"/>
        <v>3.0416666666666665E-2</v>
      </c>
      <c r="AI156" s="60">
        <v>152</v>
      </c>
      <c r="AJ156" s="63">
        <v>41791</v>
      </c>
      <c r="AK156" s="61">
        <f t="shared" si="78"/>
        <v>2.1250000000000002E-2</v>
      </c>
      <c r="AL156" s="58">
        <v>42156</v>
      </c>
      <c r="AM156" s="61">
        <f t="shared" si="79"/>
        <v>2.1250000000000002E-2</v>
      </c>
      <c r="AO156" s="63">
        <v>41791</v>
      </c>
      <c r="AP156" s="61">
        <f t="shared" si="80"/>
        <v>2.4583333333333332E-2</v>
      </c>
      <c r="AQ156" s="58">
        <v>42156</v>
      </c>
      <c r="AR156" s="61">
        <f t="shared" si="81"/>
        <v>1.9583333333333331E-2</v>
      </c>
    </row>
    <row r="157" spans="4:44">
      <c r="D157" s="14">
        <v>153</v>
      </c>
      <c r="E157" s="12">
        <v>41427</v>
      </c>
      <c r="F157" s="15">
        <f t="shared" si="88"/>
        <v>3.1625000000000007E-2</v>
      </c>
      <c r="H157" s="14">
        <v>153</v>
      </c>
      <c r="I157" s="12">
        <v>41792</v>
      </c>
      <c r="J157" s="15">
        <f t="shared" si="89"/>
        <v>2.9791666666666664E-2</v>
      </c>
      <c r="K157" s="4"/>
      <c r="L157" s="14">
        <v>153</v>
      </c>
      <c r="M157" s="12">
        <v>42157</v>
      </c>
      <c r="N157" s="15">
        <f t="shared" si="90"/>
        <v>2.520833333333334E-2</v>
      </c>
      <c r="O157" s="31"/>
      <c r="P157" s="14">
        <v>153</v>
      </c>
      <c r="Q157" s="12">
        <v>41792</v>
      </c>
      <c r="R157" s="15">
        <f t="shared" si="91"/>
        <v>2.3375000000000003E-2</v>
      </c>
      <c r="S157" s="4"/>
      <c r="T157" s="14">
        <v>153</v>
      </c>
      <c r="U157" s="12">
        <v>42157</v>
      </c>
      <c r="V157" s="15">
        <f t="shared" si="92"/>
        <v>2.3375000000000003E-2</v>
      </c>
      <c r="AA157" s="30">
        <v>153</v>
      </c>
      <c r="AB157" s="28">
        <v>41061</v>
      </c>
      <c r="AC157" s="29">
        <f t="shared" ref="AC157:AC176" si="93">AC$126+AC$4/AA$4/100</f>
        <v>3.3458333333333333E-2</v>
      </c>
      <c r="AI157" s="60">
        <v>153</v>
      </c>
      <c r="AJ157" s="58">
        <v>41792</v>
      </c>
      <c r="AK157" s="61">
        <f t="shared" si="78"/>
        <v>2.1250000000000002E-2</v>
      </c>
      <c r="AL157" s="58">
        <v>42157</v>
      </c>
      <c r="AM157" s="61">
        <f t="shared" si="79"/>
        <v>2.1250000000000002E-2</v>
      </c>
      <c r="AO157" s="58">
        <v>41792</v>
      </c>
      <c r="AP157" s="61">
        <f t="shared" si="80"/>
        <v>2.4583333333333332E-2</v>
      </c>
      <c r="AQ157" s="58">
        <v>42157</v>
      </c>
      <c r="AR157" s="61">
        <f t="shared" si="81"/>
        <v>1.9583333333333331E-2</v>
      </c>
    </row>
    <row r="158" spans="4:44">
      <c r="D158" s="14">
        <v>154</v>
      </c>
      <c r="E158" s="12">
        <v>41428</v>
      </c>
      <c r="F158" s="15">
        <f t="shared" si="88"/>
        <v>3.1625000000000007E-2</v>
      </c>
      <c r="H158" s="14">
        <v>154</v>
      </c>
      <c r="I158" s="12">
        <v>41793</v>
      </c>
      <c r="J158" s="15">
        <f t="shared" si="89"/>
        <v>2.9791666666666664E-2</v>
      </c>
      <c r="K158" s="4"/>
      <c r="L158" s="14">
        <v>154</v>
      </c>
      <c r="M158" s="12">
        <v>42158</v>
      </c>
      <c r="N158" s="15">
        <f t="shared" si="90"/>
        <v>2.520833333333334E-2</v>
      </c>
      <c r="O158" s="31"/>
      <c r="P158" s="14">
        <v>154</v>
      </c>
      <c r="Q158" s="12">
        <v>41793</v>
      </c>
      <c r="R158" s="15">
        <f t="shared" si="91"/>
        <v>2.3375000000000003E-2</v>
      </c>
      <c r="S158" s="4"/>
      <c r="T158" s="14">
        <v>154</v>
      </c>
      <c r="U158" s="12">
        <v>42158</v>
      </c>
      <c r="V158" s="15">
        <f t="shared" si="92"/>
        <v>2.3375000000000003E-2</v>
      </c>
      <c r="AA158" s="14">
        <v>154</v>
      </c>
      <c r="AB158" s="12">
        <v>41062</v>
      </c>
      <c r="AC158" s="15">
        <f t="shared" si="93"/>
        <v>3.3458333333333333E-2</v>
      </c>
      <c r="AI158" s="60">
        <v>154</v>
      </c>
      <c r="AJ158" s="58">
        <v>41793</v>
      </c>
      <c r="AK158" s="61">
        <f t="shared" si="78"/>
        <v>2.1250000000000002E-2</v>
      </c>
      <c r="AL158" s="58">
        <v>42158</v>
      </c>
      <c r="AM158" s="61">
        <f t="shared" si="79"/>
        <v>2.1250000000000002E-2</v>
      </c>
      <c r="AO158" s="58">
        <v>41793</v>
      </c>
      <c r="AP158" s="61">
        <f t="shared" si="80"/>
        <v>2.4583333333333332E-2</v>
      </c>
      <c r="AQ158" s="58">
        <v>42158</v>
      </c>
      <c r="AR158" s="61">
        <f t="shared" si="81"/>
        <v>1.9583333333333331E-2</v>
      </c>
    </row>
    <row r="159" spans="4:44">
      <c r="D159" s="14">
        <v>155</v>
      </c>
      <c r="E159" s="12">
        <v>41429</v>
      </c>
      <c r="F159" s="15">
        <f t="shared" si="88"/>
        <v>3.1625000000000007E-2</v>
      </c>
      <c r="H159" s="14">
        <v>155</v>
      </c>
      <c r="I159" s="12">
        <v>41794</v>
      </c>
      <c r="J159" s="15">
        <f t="shared" si="89"/>
        <v>2.9791666666666664E-2</v>
      </c>
      <c r="K159" s="4"/>
      <c r="L159" s="14">
        <v>155</v>
      </c>
      <c r="M159" s="12">
        <v>42159</v>
      </c>
      <c r="N159" s="15">
        <f t="shared" si="90"/>
        <v>2.520833333333334E-2</v>
      </c>
      <c r="O159" s="31"/>
      <c r="P159" s="14">
        <v>155</v>
      </c>
      <c r="Q159" s="12">
        <v>41794</v>
      </c>
      <c r="R159" s="15">
        <f t="shared" si="91"/>
        <v>2.3375000000000003E-2</v>
      </c>
      <c r="S159" s="4"/>
      <c r="T159" s="14">
        <v>155</v>
      </c>
      <c r="U159" s="12">
        <v>42159</v>
      </c>
      <c r="V159" s="15">
        <f t="shared" si="92"/>
        <v>2.3375000000000003E-2</v>
      </c>
      <c r="AA159" s="14">
        <v>155</v>
      </c>
      <c r="AB159" s="12">
        <v>41063</v>
      </c>
      <c r="AC159" s="15">
        <f t="shared" si="93"/>
        <v>3.3458333333333333E-2</v>
      </c>
      <c r="AI159" s="60">
        <v>155</v>
      </c>
      <c r="AJ159" s="58">
        <v>41794</v>
      </c>
      <c r="AK159" s="61">
        <f t="shared" si="78"/>
        <v>2.1250000000000002E-2</v>
      </c>
      <c r="AL159" s="58">
        <v>42159</v>
      </c>
      <c r="AM159" s="61">
        <f t="shared" si="79"/>
        <v>2.1250000000000002E-2</v>
      </c>
      <c r="AO159" s="58">
        <v>41794</v>
      </c>
      <c r="AP159" s="61">
        <f t="shared" si="80"/>
        <v>2.4583333333333332E-2</v>
      </c>
      <c r="AQ159" s="58">
        <v>42159</v>
      </c>
      <c r="AR159" s="61">
        <f t="shared" si="81"/>
        <v>1.9583333333333331E-2</v>
      </c>
    </row>
    <row r="160" spans="4:44">
      <c r="D160" s="14">
        <v>156</v>
      </c>
      <c r="E160" s="12">
        <v>41430</v>
      </c>
      <c r="F160" s="15">
        <f t="shared" si="88"/>
        <v>3.1625000000000007E-2</v>
      </c>
      <c r="H160" s="14">
        <v>156</v>
      </c>
      <c r="I160" s="12">
        <v>41795</v>
      </c>
      <c r="J160" s="15">
        <f t="shared" si="89"/>
        <v>2.9791666666666664E-2</v>
      </c>
      <c r="K160" s="4"/>
      <c r="L160" s="14">
        <v>156</v>
      </c>
      <c r="M160" s="12">
        <v>42160</v>
      </c>
      <c r="N160" s="15">
        <f t="shared" si="90"/>
        <v>2.520833333333334E-2</v>
      </c>
      <c r="O160" s="31"/>
      <c r="P160" s="14">
        <v>156</v>
      </c>
      <c r="Q160" s="12">
        <v>41795</v>
      </c>
      <c r="R160" s="15">
        <f t="shared" si="91"/>
        <v>2.3375000000000003E-2</v>
      </c>
      <c r="S160" s="4"/>
      <c r="T160" s="14">
        <v>156</v>
      </c>
      <c r="U160" s="12">
        <v>42160</v>
      </c>
      <c r="V160" s="15">
        <f t="shared" si="92"/>
        <v>2.3375000000000003E-2</v>
      </c>
      <c r="AA160" s="14">
        <v>156</v>
      </c>
      <c r="AB160" s="12">
        <v>41064</v>
      </c>
      <c r="AC160" s="15">
        <f t="shared" si="93"/>
        <v>3.3458333333333333E-2</v>
      </c>
      <c r="AI160" s="60">
        <v>156</v>
      </c>
      <c r="AJ160" s="58">
        <v>41795</v>
      </c>
      <c r="AK160" s="61">
        <f t="shared" si="78"/>
        <v>2.1250000000000002E-2</v>
      </c>
      <c r="AL160" s="58">
        <v>42160</v>
      </c>
      <c r="AM160" s="61">
        <f t="shared" si="79"/>
        <v>2.1250000000000002E-2</v>
      </c>
      <c r="AO160" s="58">
        <v>41795</v>
      </c>
      <c r="AP160" s="61">
        <f t="shared" si="80"/>
        <v>2.4583333333333332E-2</v>
      </c>
      <c r="AQ160" s="58">
        <v>42160</v>
      </c>
      <c r="AR160" s="61">
        <f t="shared" si="81"/>
        <v>1.9583333333333331E-2</v>
      </c>
    </row>
    <row r="161" spans="4:44">
      <c r="D161" s="14">
        <v>157</v>
      </c>
      <c r="E161" s="12">
        <v>41431</v>
      </c>
      <c r="F161" s="15">
        <f t="shared" si="88"/>
        <v>3.1625000000000007E-2</v>
      </c>
      <c r="H161" s="14">
        <v>157</v>
      </c>
      <c r="I161" s="12">
        <v>41796</v>
      </c>
      <c r="J161" s="15">
        <f t="shared" si="89"/>
        <v>2.9791666666666664E-2</v>
      </c>
      <c r="K161" s="4"/>
      <c r="L161" s="14">
        <v>157</v>
      </c>
      <c r="M161" s="12">
        <v>42161</v>
      </c>
      <c r="N161" s="15">
        <f t="shared" si="90"/>
        <v>2.520833333333334E-2</v>
      </c>
      <c r="O161" s="31"/>
      <c r="P161" s="14">
        <v>157</v>
      </c>
      <c r="Q161" s="12">
        <v>41796</v>
      </c>
      <c r="R161" s="15">
        <f t="shared" si="91"/>
        <v>2.3375000000000003E-2</v>
      </c>
      <c r="S161" s="4"/>
      <c r="T161" s="14">
        <v>157</v>
      </c>
      <c r="U161" s="12">
        <v>42161</v>
      </c>
      <c r="V161" s="15">
        <f t="shared" si="92"/>
        <v>2.3375000000000003E-2</v>
      </c>
      <c r="AA161" s="14">
        <v>157</v>
      </c>
      <c r="AB161" s="12">
        <v>41065</v>
      </c>
      <c r="AC161" s="15">
        <f t="shared" si="93"/>
        <v>3.3458333333333333E-2</v>
      </c>
      <c r="AI161" s="60">
        <v>157</v>
      </c>
      <c r="AJ161" s="58">
        <v>41796</v>
      </c>
      <c r="AK161" s="64">
        <f t="shared" ref="AK161:AK190" si="94">AK$160+AK$4/AI$4/100</f>
        <v>2.5500000000000002E-2</v>
      </c>
      <c r="AL161" s="58">
        <v>42161</v>
      </c>
      <c r="AM161" s="64">
        <f t="shared" ref="AM161:AM190" si="95">AM$160+AM$4/AI$4/100</f>
        <v>2.5500000000000002E-2</v>
      </c>
      <c r="AO161" s="58">
        <v>41796</v>
      </c>
      <c r="AP161" s="64">
        <f t="shared" ref="AP161:AP190" si="96">AP$160+AP$4/AI$4/100</f>
        <v>2.9499999999999998E-2</v>
      </c>
      <c r="AQ161" s="58">
        <v>42161</v>
      </c>
      <c r="AR161" s="64">
        <f t="shared" ref="AR161:AR190" si="97">AR$160+AR$4/AI$4/100</f>
        <v>2.3499999999999997E-2</v>
      </c>
    </row>
    <row r="162" spans="4:44">
      <c r="D162" s="14">
        <v>158</v>
      </c>
      <c r="E162" s="12">
        <v>41432</v>
      </c>
      <c r="F162" s="15">
        <f t="shared" si="88"/>
        <v>3.1625000000000007E-2</v>
      </c>
      <c r="H162" s="14">
        <v>158</v>
      </c>
      <c r="I162" s="12">
        <v>41797</v>
      </c>
      <c r="J162" s="15">
        <f t="shared" si="89"/>
        <v>2.9791666666666664E-2</v>
      </c>
      <c r="K162" s="4"/>
      <c r="L162" s="14">
        <v>158</v>
      </c>
      <c r="M162" s="12">
        <v>42162</v>
      </c>
      <c r="N162" s="15">
        <f t="shared" si="90"/>
        <v>2.520833333333334E-2</v>
      </c>
      <c r="O162" s="31"/>
      <c r="P162" s="14">
        <v>158</v>
      </c>
      <c r="Q162" s="12">
        <v>41797</v>
      </c>
      <c r="R162" s="15">
        <f t="shared" si="91"/>
        <v>2.3375000000000003E-2</v>
      </c>
      <c r="S162" s="4"/>
      <c r="T162" s="14">
        <v>158</v>
      </c>
      <c r="U162" s="12">
        <v>42162</v>
      </c>
      <c r="V162" s="15">
        <f t="shared" si="92"/>
        <v>2.3375000000000003E-2</v>
      </c>
      <c r="AA162" s="14">
        <v>158</v>
      </c>
      <c r="AB162" s="12">
        <v>41066</v>
      </c>
      <c r="AC162" s="15">
        <f t="shared" si="93"/>
        <v>3.3458333333333333E-2</v>
      </c>
      <c r="AI162" s="60">
        <v>158</v>
      </c>
      <c r="AJ162" s="58">
        <v>41797</v>
      </c>
      <c r="AK162" s="61">
        <f t="shared" si="94"/>
        <v>2.5500000000000002E-2</v>
      </c>
      <c r="AL162" s="58">
        <v>42162</v>
      </c>
      <c r="AM162" s="61">
        <f t="shared" si="95"/>
        <v>2.5500000000000002E-2</v>
      </c>
      <c r="AO162" s="58">
        <v>41797</v>
      </c>
      <c r="AP162" s="61">
        <f t="shared" si="96"/>
        <v>2.9499999999999998E-2</v>
      </c>
      <c r="AQ162" s="58">
        <v>42162</v>
      </c>
      <c r="AR162" s="61">
        <f t="shared" si="97"/>
        <v>2.3499999999999997E-2</v>
      </c>
    </row>
    <row r="163" spans="4:44">
      <c r="D163" s="14">
        <v>159</v>
      </c>
      <c r="E163" s="12">
        <v>41433</v>
      </c>
      <c r="F163" s="15">
        <f t="shared" si="88"/>
        <v>3.1625000000000007E-2</v>
      </c>
      <c r="H163" s="14">
        <v>159</v>
      </c>
      <c r="I163" s="12">
        <v>41798</v>
      </c>
      <c r="J163" s="15">
        <f t="shared" si="89"/>
        <v>2.9791666666666664E-2</v>
      </c>
      <c r="K163" s="4"/>
      <c r="L163" s="14">
        <v>159</v>
      </c>
      <c r="M163" s="12">
        <v>42163</v>
      </c>
      <c r="N163" s="15">
        <f t="shared" si="90"/>
        <v>2.520833333333334E-2</v>
      </c>
      <c r="O163" s="31"/>
      <c r="P163" s="14">
        <v>159</v>
      </c>
      <c r="Q163" s="12">
        <v>41798</v>
      </c>
      <c r="R163" s="15">
        <f t="shared" si="91"/>
        <v>2.3375000000000003E-2</v>
      </c>
      <c r="S163" s="4"/>
      <c r="T163" s="14">
        <v>159</v>
      </c>
      <c r="U163" s="12">
        <v>42163</v>
      </c>
      <c r="V163" s="15">
        <f t="shared" si="92"/>
        <v>2.3375000000000003E-2</v>
      </c>
      <c r="AA163" s="14">
        <v>159</v>
      </c>
      <c r="AB163" s="12">
        <v>41067</v>
      </c>
      <c r="AC163" s="15">
        <f t="shared" si="93"/>
        <v>3.3458333333333333E-2</v>
      </c>
      <c r="AI163" s="60">
        <v>159</v>
      </c>
      <c r="AJ163" s="58">
        <v>41798</v>
      </c>
      <c r="AK163" s="61">
        <f t="shared" si="94"/>
        <v>2.5500000000000002E-2</v>
      </c>
      <c r="AL163" s="58">
        <v>42163</v>
      </c>
      <c r="AM163" s="61">
        <f t="shared" si="95"/>
        <v>2.5500000000000002E-2</v>
      </c>
      <c r="AO163" s="58">
        <v>41798</v>
      </c>
      <c r="AP163" s="61">
        <f t="shared" si="96"/>
        <v>2.9499999999999998E-2</v>
      </c>
      <c r="AQ163" s="58">
        <v>42163</v>
      </c>
      <c r="AR163" s="61">
        <f t="shared" si="97"/>
        <v>2.3499999999999997E-2</v>
      </c>
    </row>
    <row r="164" spans="4:44">
      <c r="D164" s="14">
        <v>160</v>
      </c>
      <c r="E164" s="12">
        <v>41434</v>
      </c>
      <c r="F164" s="15">
        <f t="shared" si="88"/>
        <v>3.1625000000000007E-2</v>
      </c>
      <c r="H164" s="14">
        <v>160</v>
      </c>
      <c r="I164" s="12">
        <v>41799</v>
      </c>
      <c r="J164" s="15">
        <f t="shared" si="89"/>
        <v>2.9791666666666664E-2</v>
      </c>
      <c r="K164" s="4"/>
      <c r="L164" s="14">
        <v>160</v>
      </c>
      <c r="M164" s="12">
        <v>42164</v>
      </c>
      <c r="N164" s="15">
        <f t="shared" si="90"/>
        <v>2.520833333333334E-2</v>
      </c>
      <c r="O164" s="31"/>
      <c r="P164" s="14">
        <v>160</v>
      </c>
      <c r="Q164" s="12">
        <v>41799</v>
      </c>
      <c r="R164" s="15">
        <f t="shared" si="91"/>
        <v>2.3375000000000003E-2</v>
      </c>
      <c r="S164" s="4"/>
      <c r="T164" s="14">
        <v>160</v>
      </c>
      <c r="U164" s="12">
        <v>42164</v>
      </c>
      <c r="V164" s="15">
        <f t="shared" si="92"/>
        <v>2.3375000000000003E-2</v>
      </c>
      <c r="AA164" s="14">
        <v>160</v>
      </c>
      <c r="AB164" s="12">
        <v>41068</v>
      </c>
      <c r="AC164" s="15">
        <f t="shared" si="93"/>
        <v>3.3458333333333333E-2</v>
      </c>
      <c r="AI164" s="60">
        <v>160</v>
      </c>
      <c r="AJ164" s="58">
        <v>41799</v>
      </c>
      <c r="AK164" s="61">
        <f t="shared" si="94"/>
        <v>2.5500000000000002E-2</v>
      </c>
      <c r="AL164" s="58">
        <v>42164</v>
      </c>
      <c r="AM164" s="61">
        <f t="shared" si="95"/>
        <v>2.5500000000000002E-2</v>
      </c>
      <c r="AO164" s="58">
        <v>41799</v>
      </c>
      <c r="AP164" s="61">
        <f t="shared" si="96"/>
        <v>2.9499999999999998E-2</v>
      </c>
      <c r="AQ164" s="58">
        <v>42164</v>
      </c>
      <c r="AR164" s="61">
        <f t="shared" si="97"/>
        <v>2.3499999999999997E-2</v>
      </c>
    </row>
    <row r="165" spans="4:44">
      <c r="D165" s="14">
        <v>161</v>
      </c>
      <c r="E165" s="12">
        <v>41435</v>
      </c>
      <c r="F165" s="15">
        <f t="shared" si="88"/>
        <v>3.1625000000000007E-2</v>
      </c>
      <c r="H165" s="14">
        <v>161</v>
      </c>
      <c r="I165" s="12">
        <v>41800</v>
      </c>
      <c r="J165" s="15">
        <f t="shared" si="89"/>
        <v>2.9791666666666664E-2</v>
      </c>
      <c r="K165" s="4"/>
      <c r="L165" s="14">
        <v>161</v>
      </c>
      <c r="M165" s="12">
        <v>42165</v>
      </c>
      <c r="N165" s="15">
        <f t="shared" si="90"/>
        <v>2.520833333333334E-2</v>
      </c>
      <c r="O165" s="31"/>
      <c r="P165" s="14">
        <v>161</v>
      </c>
      <c r="Q165" s="12">
        <v>41800</v>
      </c>
      <c r="R165" s="15">
        <f t="shared" si="91"/>
        <v>2.3375000000000003E-2</v>
      </c>
      <c r="S165" s="4"/>
      <c r="T165" s="14">
        <v>161</v>
      </c>
      <c r="U165" s="12">
        <v>42165</v>
      </c>
      <c r="V165" s="15">
        <f t="shared" si="92"/>
        <v>2.3375000000000003E-2</v>
      </c>
      <c r="AA165" s="14">
        <v>161</v>
      </c>
      <c r="AB165" s="12">
        <v>41069</v>
      </c>
      <c r="AC165" s="15">
        <f t="shared" si="93"/>
        <v>3.3458333333333333E-2</v>
      </c>
      <c r="AI165" s="60">
        <v>161</v>
      </c>
      <c r="AJ165" s="58">
        <v>41800</v>
      </c>
      <c r="AK165" s="61">
        <f t="shared" si="94"/>
        <v>2.5500000000000002E-2</v>
      </c>
      <c r="AL165" s="58">
        <v>42165</v>
      </c>
      <c r="AM165" s="61">
        <f t="shared" si="95"/>
        <v>2.5500000000000002E-2</v>
      </c>
      <c r="AO165" s="58">
        <v>41800</v>
      </c>
      <c r="AP165" s="61">
        <f t="shared" si="96"/>
        <v>2.9499999999999998E-2</v>
      </c>
      <c r="AQ165" s="58">
        <v>42165</v>
      </c>
      <c r="AR165" s="61">
        <f t="shared" si="97"/>
        <v>2.3499999999999997E-2</v>
      </c>
    </row>
    <row r="166" spans="4:44">
      <c r="D166" s="14">
        <v>162</v>
      </c>
      <c r="E166" s="12">
        <v>41436</v>
      </c>
      <c r="F166" s="15">
        <f t="shared" si="88"/>
        <v>3.1625000000000007E-2</v>
      </c>
      <c r="H166" s="14">
        <v>162</v>
      </c>
      <c r="I166" s="12">
        <v>41801</v>
      </c>
      <c r="J166" s="15">
        <f t="shared" si="89"/>
        <v>2.9791666666666664E-2</v>
      </c>
      <c r="K166" s="4"/>
      <c r="L166" s="14">
        <v>162</v>
      </c>
      <c r="M166" s="12">
        <v>42166</v>
      </c>
      <c r="N166" s="15">
        <f t="shared" si="90"/>
        <v>2.520833333333334E-2</v>
      </c>
      <c r="O166" s="31"/>
      <c r="P166" s="14">
        <v>162</v>
      </c>
      <c r="Q166" s="12">
        <v>41801</v>
      </c>
      <c r="R166" s="15">
        <f t="shared" si="91"/>
        <v>2.3375000000000003E-2</v>
      </c>
      <c r="S166" s="4"/>
      <c r="T166" s="14">
        <v>162</v>
      </c>
      <c r="U166" s="12">
        <v>42166</v>
      </c>
      <c r="V166" s="15">
        <f t="shared" si="92"/>
        <v>2.3375000000000003E-2</v>
      </c>
      <c r="AA166" s="14">
        <v>162</v>
      </c>
      <c r="AB166" s="12">
        <v>41070</v>
      </c>
      <c r="AC166" s="15">
        <f t="shared" si="93"/>
        <v>3.3458333333333333E-2</v>
      </c>
      <c r="AI166" s="60">
        <v>162</v>
      </c>
      <c r="AJ166" s="58">
        <v>41801</v>
      </c>
      <c r="AK166" s="61">
        <f t="shared" si="94"/>
        <v>2.5500000000000002E-2</v>
      </c>
      <c r="AL166" s="58">
        <v>42166</v>
      </c>
      <c r="AM166" s="61">
        <f t="shared" si="95"/>
        <v>2.5500000000000002E-2</v>
      </c>
      <c r="AO166" s="58">
        <v>41801</v>
      </c>
      <c r="AP166" s="61">
        <f t="shared" si="96"/>
        <v>2.9499999999999998E-2</v>
      </c>
      <c r="AQ166" s="58">
        <v>42166</v>
      </c>
      <c r="AR166" s="61">
        <f t="shared" si="97"/>
        <v>2.3499999999999997E-2</v>
      </c>
    </row>
    <row r="167" spans="4:44">
      <c r="D167" s="14">
        <v>163</v>
      </c>
      <c r="E167" s="12">
        <v>41437</v>
      </c>
      <c r="F167" s="15">
        <f t="shared" si="88"/>
        <v>3.1625000000000007E-2</v>
      </c>
      <c r="H167" s="14">
        <v>163</v>
      </c>
      <c r="I167" s="12">
        <v>41802</v>
      </c>
      <c r="J167" s="15">
        <f t="shared" si="89"/>
        <v>2.9791666666666664E-2</v>
      </c>
      <c r="K167" s="4"/>
      <c r="L167" s="14">
        <v>163</v>
      </c>
      <c r="M167" s="12">
        <v>42167</v>
      </c>
      <c r="N167" s="15">
        <f t="shared" si="90"/>
        <v>2.520833333333334E-2</v>
      </c>
      <c r="O167" s="31"/>
      <c r="P167" s="14">
        <v>163</v>
      </c>
      <c r="Q167" s="12">
        <v>41802</v>
      </c>
      <c r="R167" s="15">
        <f t="shared" si="91"/>
        <v>2.3375000000000003E-2</v>
      </c>
      <c r="S167" s="4"/>
      <c r="T167" s="14">
        <v>163</v>
      </c>
      <c r="U167" s="12">
        <v>42167</v>
      </c>
      <c r="V167" s="15">
        <f t="shared" si="92"/>
        <v>2.3375000000000003E-2</v>
      </c>
      <c r="AA167" s="14">
        <v>163</v>
      </c>
      <c r="AB167" s="12">
        <v>41071</v>
      </c>
      <c r="AC167" s="15">
        <f t="shared" si="93"/>
        <v>3.3458333333333333E-2</v>
      </c>
      <c r="AI167" s="60">
        <v>163</v>
      </c>
      <c r="AJ167" s="58">
        <v>41802</v>
      </c>
      <c r="AK167" s="61">
        <f t="shared" si="94"/>
        <v>2.5500000000000002E-2</v>
      </c>
      <c r="AL167" s="58">
        <v>42167</v>
      </c>
      <c r="AM167" s="61">
        <f t="shared" si="95"/>
        <v>2.5500000000000002E-2</v>
      </c>
      <c r="AO167" s="58">
        <v>41802</v>
      </c>
      <c r="AP167" s="61">
        <f t="shared" si="96"/>
        <v>2.9499999999999998E-2</v>
      </c>
      <c r="AQ167" s="58">
        <v>42167</v>
      </c>
      <c r="AR167" s="61">
        <f t="shared" si="97"/>
        <v>2.3499999999999997E-2</v>
      </c>
    </row>
    <row r="168" spans="4:44">
      <c r="D168" s="14">
        <v>164</v>
      </c>
      <c r="E168" s="12">
        <v>41438</v>
      </c>
      <c r="F168" s="15">
        <f t="shared" si="88"/>
        <v>3.1625000000000007E-2</v>
      </c>
      <c r="H168" s="14">
        <v>164</v>
      </c>
      <c r="I168" s="12">
        <v>41803</v>
      </c>
      <c r="J168" s="15">
        <f t="shared" si="89"/>
        <v>2.9791666666666664E-2</v>
      </c>
      <c r="K168" s="4"/>
      <c r="L168" s="14">
        <v>164</v>
      </c>
      <c r="M168" s="12">
        <v>42168</v>
      </c>
      <c r="N168" s="15">
        <f t="shared" si="90"/>
        <v>2.520833333333334E-2</v>
      </c>
      <c r="O168" s="31"/>
      <c r="P168" s="14">
        <v>164</v>
      </c>
      <c r="Q168" s="12">
        <v>41803</v>
      </c>
      <c r="R168" s="15">
        <f t="shared" si="91"/>
        <v>2.3375000000000003E-2</v>
      </c>
      <c r="S168" s="4"/>
      <c r="T168" s="14">
        <v>164</v>
      </c>
      <c r="U168" s="12">
        <v>42168</v>
      </c>
      <c r="V168" s="15">
        <f t="shared" si="92"/>
        <v>2.3375000000000003E-2</v>
      </c>
      <c r="AA168" s="14">
        <v>164</v>
      </c>
      <c r="AB168" s="12">
        <v>41072</v>
      </c>
      <c r="AC168" s="15">
        <f t="shared" si="93"/>
        <v>3.3458333333333333E-2</v>
      </c>
      <c r="AI168" s="60">
        <v>164</v>
      </c>
      <c r="AJ168" s="58">
        <v>41803</v>
      </c>
      <c r="AK168" s="61">
        <f t="shared" si="94"/>
        <v>2.5500000000000002E-2</v>
      </c>
      <c r="AL168" s="58">
        <v>42168</v>
      </c>
      <c r="AM168" s="61">
        <f t="shared" si="95"/>
        <v>2.5500000000000002E-2</v>
      </c>
      <c r="AO168" s="58">
        <v>41803</v>
      </c>
      <c r="AP168" s="61">
        <f t="shared" si="96"/>
        <v>2.9499999999999998E-2</v>
      </c>
      <c r="AQ168" s="58">
        <v>42168</v>
      </c>
      <c r="AR168" s="61">
        <f t="shared" si="97"/>
        <v>2.3499999999999997E-2</v>
      </c>
    </row>
    <row r="169" spans="4:44">
      <c r="D169" s="14">
        <v>165</v>
      </c>
      <c r="E169" s="12">
        <v>41439</v>
      </c>
      <c r="F169" s="15">
        <f t="shared" si="88"/>
        <v>3.1625000000000007E-2</v>
      </c>
      <c r="H169" s="14">
        <v>165</v>
      </c>
      <c r="I169" s="12">
        <v>41804</v>
      </c>
      <c r="J169" s="15">
        <f t="shared" si="89"/>
        <v>2.9791666666666664E-2</v>
      </c>
      <c r="K169" s="4"/>
      <c r="L169" s="14">
        <v>165</v>
      </c>
      <c r="M169" s="12">
        <v>42169</v>
      </c>
      <c r="N169" s="15">
        <f t="shared" si="90"/>
        <v>2.520833333333334E-2</v>
      </c>
      <c r="O169" s="31"/>
      <c r="P169" s="14">
        <v>165</v>
      </c>
      <c r="Q169" s="12">
        <v>41804</v>
      </c>
      <c r="R169" s="15">
        <f t="shared" si="91"/>
        <v>2.3375000000000003E-2</v>
      </c>
      <c r="S169" s="4"/>
      <c r="T169" s="14">
        <v>165</v>
      </c>
      <c r="U169" s="12">
        <v>42169</v>
      </c>
      <c r="V169" s="15">
        <f t="shared" si="92"/>
        <v>2.3375000000000003E-2</v>
      </c>
      <c r="AA169" s="14">
        <v>165</v>
      </c>
      <c r="AB169" s="12">
        <v>41073</v>
      </c>
      <c r="AC169" s="15">
        <f t="shared" si="93"/>
        <v>3.3458333333333333E-2</v>
      </c>
      <c r="AI169" s="60">
        <v>165</v>
      </c>
      <c r="AJ169" s="58">
        <v>41804</v>
      </c>
      <c r="AK169" s="61">
        <f t="shared" si="94"/>
        <v>2.5500000000000002E-2</v>
      </c>
      <c r="AL169" s="58">
        <v>42169</v>
      </c>
      <c r="AM169" s="61">
        <f t="shared" si="95"/>
        <v>2.5500000000000002E-2</v>
      </c>
      <c r="AO169" s="58">
        <v>41804</v>
      </c>
      <c r="AP169" s="61">
        <f t="shared" si="96"/>
        <v>2.9499999999999998E-2</v>
      </c>
      <c r="AQ169" s="58">
        <v>42169</v>
      </c>
      <c r="AR169" s="61">
        <f t="shared" si="97"/>
        <v>2.3499999999999997E-2</v>
      </c>
    </row>
    <row r="170" spans="4:44">
      <c r="D170" s="14">
        <v>166</v>
      </c>
      <c r="E170" s="12">
        <v>41440</v>
      </c>
      <c r="F170" s="15">
        <f t="shared" si="88"/>
        <v>3.1625000000000007E-2</v>
      </c>
      <c r="H170" s="14">
        <v>166</v>
      </c>
      <c r="I170" s="12">
        <v>41805</v>
      </c>
      <c r="J170" s="15">
        <f t="shared" si="89"/>
        <v>2.9791666666666664E-2</v>
      </c>
      <c r="K170" s="4"/>
      <c r="L170" s="14">
        <v>166</v>
      </c>
      <c r="M170" s="12">
        <v>42170</v>
      </c>
      <c r="N170" s="15">
        <f t="shared" si="90"/>
        <v>2.520833333333334E-2</v>
      </c>
      <c r="O170" s="31"/>
      <c r="P170" s="14">
        <v>166</v>
      </c>
      <c r="Q170" s="12">
        <v>41805</v>
      </c>
      <c r="R170" s="15">
        <f t="shared" si="91"/>
        <v>2.3375000000000003E-2</v>
      </c>
      <c r="S170" s="4"/>
      <c r="T170" s="14">
        <v>166</v>
      </c>
      <c r="U170" s="12">
        <v>42170</v>
      </c>
      <c r="V170" s="15">
        <f t="shared" si="92"/>
        <v>2.3375000000000003E-2</v>
      </c>
      <c r="AA170" s="14">
        <v>166</v>
      </c>
      <c r="AB170" s="12">
        <v>41074</v>
      </c>
      <c r="AC170" s="15">
        <f t="shared" si="93"/>
        <v>3.3458333333333333E-2</v>
      </c>
      <c r="AI170" s="60">
        <v>166</v>
      </c>
      <c r="AJ170" s="58">
        <v>41805</v>
      </c>
      <c r="AK170" s="61">
        <f t="shared" si="94"/>
        <v>2.5500000000000002E-2</v>
      </c>
      <c r="AL170" s="58">
        <v>42170</v>
      </c>
      <c r="AM170" s="61">
        <f t="shared" si="95"/>
        <v>2.5500000000000002E-2</v>
      </c>
      <c r="AO170" s="58">
        <v>41805</v>
      </c>
      <c r="AP170" s="61">
        <f t="shared" si="96"/>
        <v>2.9499999999999998E-2</v>
      </c>
      <c r="AQ170" s="58">
        <v>42170</v>
      </c>
      <c r="AR170" s="61">
        <f t="shared" si="97"/>
        <v>2.3499999999999997E-2</v>
      </c>
    </row>
    <row r="171" spans="4:44">
      <c r="D171" s="14">
        <v>167</v>
      </c>
      <c r="E171" s="12">
        <v>41441</v>
      </c>
      <c r="F171" s="15">
        <f t="shared" si="88"/>
        <v>3.1625000000000007E-2</v>
      </c>
      <c r="H171" s="14">
        <v>167</v>
      </c>
      <c r="I171" s="12">
        <v>41806</v>
      </c>
      <c r="J171" s="15">
        <f t="shared" si="89"/>
        <v>2.9791666666666664E-2</v>
      </c>
      <c r="K171" s="4"/>
      <c r="L171" s="14">
        <v>167</v>
      </c>
      <c r="M171" s="12">
        <v>42171</v>
      </c>
      <c r="N171" s="15">
        <f t="shared" si="90"/>
        <v>2.520833333333334E-2</v>
      </c>
      <c r="O171" s="31"/>
      <c r="P171" s="14">
        <v>167</v>
      </c>
      <c r="Q171" s="12">
        <v>41806</v>
      </c>
      <c r="R171" s="15">
        <f t="shared" si="91"/>
        <v>2.3375000000000003E-2</v>
      </c>
      <c r="S171" s="4"/>
      <c r="T171" s="14">
        <v>167</v>
      </c>
      <c r="U171" s="12">
        <v>42171</v>
      </c>
      <c r="V171" s="15">
        <f t="shared" si="92"/>
        <v>2.3375000000000003E-2</v>
      </c>
      <c r="AA171" s="14">
        <v>167</v>
      </c>
      <c r="AB171" s="12">
        <v>41075</v>
      </c>
      <c r="AC171" s="15">
        <f t="shared" si="93"/>
        <v>3.3458333333333333E-2</v>
      </c>
      <c r="AI171" s="60">
        <v>167</v>
      </c>
      <c r="AJ171" s="58">
        <v>41806</v>
      </c>
      <c r="AK171" s="61">
        <f t="shared" si="94"/>
        <v>2.5500000000000002E-2</v>
      </c>
      <c r="AL171" s="58">
        <v>42171</v>
      </c>
      <c r="AM171" s="61">
        <f t="shared" si="95"/>
        <v>2.5500000000000002E-2</v>
      </c>
      <c r="AO171" s="58">
        <v>41806</v>
      </c>
      <c r="AP171" s="61">
        <f t="shared" si="96"/>
        <v>2.9499999999999998E-2</v>
      </c>
      <c r="AQ171" s="58">
        <v>42171</v>
      </c>
      <c r="AR171" s="61">
        <f t="shared" si="97"/>
        <v>2.3499999999999997E-2</v>
      </c>
    </row>
    <row r="172" spans="4:44">
      <c r="D172" s="14">
        <v>168</v>
      </c>
      <c r="E172" s="12">
        <v>41442</v>
      </c>
      <c r="F172" s="15">
        <f t="shared" si="88"/>
        <v>3.1625000000000007E-2</v>
      </c>
      <c r="H172" s="14">
        <v>168</v>
      </c>
      <c r="I172" s="12">
        <v>41807</v>
      </c>
      <c r="J172" s="15">
        <f t="shared" si="89"/>
        <v>2.9791666666666664E-2</v>
      </c>
      <c r="K172" s="4"/>
      <c r="L172" s="14">
        <v>168</v>
      </c>
      <c r="M172" s="12">
        <v>42172</v>
      </c>
      <c r="N172" s="15">
        <f t="shared" si="90"/>
        <v>2.520833333333334E-2</v>
      </c>
      <c r="O172" s="31"/>
      <c r="P172" s="14">
        <v>168</v>
      </c>
      <c r="Q172" s="12">
        <v>41807</v>
      </c>
      <c r="R172" s="15">
        <f t="shared" si="91"/>
        <v>2.3375000000000003E-2</v>
      </c>
      <c r="S172" s="4"/>
      <c r="T172" s="14">
        <v>168</v>
      </c>
      <c r="U172" s="12">
        <v>42172</v>
      </c>
      <c r="V172" s="15">
        <f t="shared" si="92"/>
        <v>2.3375000000000003E-2</v>
      </c>
      <c r="AA172" s="14">
        <v>168</v>
      </c>
      <c r="AB172" s="12">
        <v>41076</v>
      </c>
      <c r="AC172" s="15">
        <f t="shared" si="93"/>
        <v>3.3458333333333333E-2</v>
      </c>
      <c r="AI172" s="60">
        <v>168</v>
      </c>
      <c r="AJ172" s="58">
        <v>41807</v>
      </c>
      <c r="AK172" s="61">
        <f t="shared" si="94"/>
        <v>2.5500000000000002E-2</v>
      </c>
      <c r="AL172" s="58">
        <v>42172</v>
      </c>
      <c r="AM172" s="61">
        <f t="shared" si="95"/>
        <v>2.5500000000000002E-2</v>
      </c>
      <c r="AO172" s="58">
        <v>41807</v>
      </c>
      <c r="AP172" s="61">
        <f t="shared" si="96"/>
        <v>2.9499999999999998E-2</v>
      </c>
      <c r="AQ172" s="58">
        <v>42172</v>
      </c>
      <c r="AR172" s="61">
        <f t="shared" si="97"/>
        <v>2.3499999999999997E-2</v>
      </c>
    </row>
    <row r="173" spans="4:44">
      <c r="D173" s="14">
        <v>169</v>
      </c>
      <c r="E173" s="12">
        <v>41443</v>
      </c>
      <c r="F173" s="15">
        <f t="shared" si="88"/>
        <v>3.1625000000000007E-2</v>
      </c>
      <c r="H173" s="14">
        <v>169</v>
      </c>
      <c r="I173" s="12">
        <v>41808</v>
      </c>
      <c r="J173" s="15">
        <f t="shared" si="89"/>
        <v>2.9791666666666664E-2</v>
      </c>
      <c r="K173" s="4"/>
      <c r="L173" s="14">
        <v>169</v>
      </c>
      <c r="M173" s="12">
        <v>42173</v>
      </c>
      <c r="N173" s="15">
        <f t="shared" si="90"/>
        <v>2.520833333333334E-2</v>
      </c>
      <c r="O173" s="31"/>
      <c r="P173" s="14">
        <v>169</v>
      </c>
      <c r="Q173" s="12">
        <v>41808</v>
      </c>
      <c r="R173" s="15">
        <f t="shared" si="91"/>
        <v>2.3375000000000003E-2</v>
      </c>
      <c r="S173" s="4"/>
      <c r="T173" s="14">
        <v>169</v>
      </c>
      <c r="U173" s="12">
        <v>42173</v>
      </c>
      <c r="V173" s="15">
        <f t="shared" si="92"/>
        <v>2.3375000000000003E-2</v>
      </c>
      <c r="AA173" s="14">
        <v>169</v>
      </c>
      <c r="AB173" s="12">
        <v>41077</v>
      </c>
      <c r="AC173" s="15">
        <f t="shared" si="93"/>
        <v>3.3458333333333333E-2</v>
      </c>
      <c r="AI173" s="60">
        <v>169</v>
      </c>
      <c r="AJ173" s="58">
        <v>41808</v>
      </c>
      <c r="AK173" s="61">
        <f t="shared" si="94"/>
        <v>2.5500000000000002E-2</v>
      </c>
      <c r="AL173" s="58">
        <v>42173</v>
      </c>
      <c r="AM173" s="61">
        <f t="shared" si="95"/>
        <v>2.5500000000000002E-2</v>
      </c>
      <c r="AO173" s="58">
        <v>41808</v>
      </c>
      <c r="AP173" s="61">
        <f t="shared" si="96"/>
        <v>2.9499999999999998E-2</v>
      </c>
      <c r="AQ173" s="58">
        <v>42173</v>
      </c>
      <c r="AR173" s="61">
        <f t="shared" si="97"/>
        <v>2.3499999999999997E-2</v>
      </c>
    </row>
    <row r="174" spans="4:44">
      <c r="D174" s="14">
        <v>170</v>
      </c>
      <c r="E174" s="12">
        <v>41444</v>
      </c>
      <c r="F174" s="15">
        <f t="shared" si="88"/>
        <v>3.1625000000000007E-2</v>
      </c>
      <c r="H174" s="14">
        <v>170</v>
      </c>
      <c r="I174" s="12">
        <v>41809</v>
      </c>
      <c r="J174" s="15">
        <f t="shared" si="89"/>
        <v>2.9791666666666664E-2</v>
      </c>
      <c r="K174" s="4"/>
      <c r="L174" s="14">
        <v>170</v>
      </c>
      <c r="M174" s="12">
        <v>42174</v>
      </c>
      <c r="N174" s="15">
        <f t="shared" si="90"/>
        <v>2.520833333333334E-2</v>
      </c>
      <c r="O174" s="31"/>
      <c r="P174" s="14">
        <v>170</v>
      </c>
      <c r="Q174" s="12">
        <v>41809</v>
      </c>
      <c r="R174" s="15">
        <f t="shared" si="91"/>
        <v>2.3375000000000003E-2</v>
      </c>
      <c r="S174" s="4"/>
      <c r="T174" s="14">
        <v>170</v>
      </c>
      <c r="U174" s="12">
        <v>42174</v>
      </c>
      <c r="V174" s="15">
        <f t="shared" si="92"/>
        <v>2.3375000000000003E-2</v>
      </c>
      <c r="AA174" s="14">
        <v>170</v>
      </c>
      <c r="AB174" s="12">
        <v>41078</v>
      </c>
      <c r="AC174" s="15">
        <f t="shared" si="93"/>
        <v>3.3458333333333333E-2</v>
      </c>
      <c r="AI174" s="60">
        <v>170</v>
      </c>
      <c r="AJ174" s="58">
        <v>41809</v>
      </c>
      <c r="AK174" s="61">
        <f t="shared" si="94"/>
        <v>2.5500000000000002E-2</v>
      </c>
      <c r="AL174" s="58">
        <v>42174</v>
      </c>
      <c r="AM174" s="61">
        <f t="shared" si="95"/>
        <v>2.5500000000000002E-2</v>
      </c>
      <c r="AO174" s="58">
        <v>41809</v>
      </c>
      <c r="AP174" s="61">
        <f t="shared" si="96"/>
        <v>2.9499999999999998E-2</v>
      </c>
      <c r="AQ174" s="58">
        <v>42174</v>
      </c>
      <c r="AR174" s="61">
        <f t="shared" si="97"/>
        <v>2.3499999999999997E-2</v>
      </c>
    </row>
    <row r="175" spans="4:44">
      <c r="D175" s="14">
        <v>171</v>
      </c>
      <c r="E175" s="12">
        <v>41445</v>
      </c>
      <c r="F175" s="15">
        <f t="shared" si="88"/>
        <v>3.1625000000000007E-2</v>
      </c>
      <c r="H175" s="14">
        <v>171</v>
      </c>
      <c r="I175" s="12">
        <v>41810</v>
      </c>
      <c r="J175" s="15">
        <f t="shared" si="89"/>
        <v>2.9791666666666664E-2</v>
      </c>
      <c r="K175" s="4"/>
      <c r="L175" s="14">
        <v>171</v>
      </c>
      <c r="M175" s="12">
        <v>42175</v>
      </c>
      <c r="N175" s="15">
        <f t="shared" si="90"/>
        <v>2.520833333333334E-2</v>
      </c>
      <c r="O175" s="31"/>
      <c r="P175" s="14">
        <v>171</v>
      </c>
      <c r="Q175" s="12">
        <v>41810</v>
      </c>
      <c r="R175" s="15">
        <f t="shared" si="91"/>
        <v>2.3375000000000003E-2</v>
      </c>
      <c r="S175" s="4"/>
      <c r="T175" s="14">
        <v>171</v>
      </c>
      <c r="U175" s="12">
        <v>42175</v>
      </c>
      <c r="V175" s="15">
        <f t="shared" si="92"/>
        <v>2.3375000000000003E-2</v>
      </c>
      <c r="AA175" s="14">
        <v>171</v>
      </c>
      <c r="AB175" s="12">
        <v>41079</v>
      </c>
      <c r="AC175" s="15">
        <f t="shared" si="93"/>
        <v>3.3458333333333333E-2</v>
      </c>
      <c r="AI175" s="60">
        <v>171</v>
      </c>
      <c r="AJ175" s="58">
        <v>41810</v>
      </c>
      <c r="AK175" s="61">
        <f t="shared" si="94"/>
        <v>2.5500000000000002E-2</v>
      </c>
      <c r="AL175" s="58">
        <v>42175</v>
      </c>
      <c r="AM175" s="61">
        <f t="shared" si="95"/>
        <v>2.5500000000000002E-2</v>
      </c>
      <c r="AO175" s="58">
        <v>41810</v>
      </c>
      <c r="AP175" s="61">
        <f t="shared" si="96"/>
        <v>2.9499999999999998E-2</v>
      </c>
      <c r="AQ175" s="58">
        <v>42175</v>
      </c>
      <c r="AR175" s="61">
        <f t="shared" si="97"/>
        <v>2.3499999999999997E-2</v>
      </c>
    </row>
    <row r="176" spans="4:44">
      <c r="D176" s="14">
        <v>172</v>
      </c>
      <c r="E176" s="12">
        <v>41446</v>
      </c>
      <c r="F176" s="29">
        <f t="shared" ref="F176:F185" si="98">F$145+F$4/D$4/100</f>
        <v>3.4500000000000003E-2</v>
      </c>
      <c r="H176" s="14">
        <v>172</v>
      </c>
      <c r="I176" s="12">
        <v>41811</v>
      </c>
      <c r="J176" s="29">
        <f t="shared" ref="J176:J185" si="99">J$145+J$4/H$4/100</f>
        <v>3.2499999999999994E-2</v>
      </c>
      <c r="K176" s="4"/>
      <c r="L176" s="14">
        <v>172</v>
      </c>
      <c r="M176" s="12">
        <v>42176</v>
      </c>
      <c r="N176" s="29">
        <f t="shared" ref="N176:N185" si="100">N$145+N$4/L$4/100</f>
        <v>2.7500000000000004E-2</v>
      </c>
      <c r="O176" s="31"/>
      <c r="P176" s="14">
        <v>172</v>
      </c>
      <c r="Q176" s="12">
        <v>41811</v>
      </c>
      <c r="R176" s="29">
        <f t="shared" ref="R176:R185" si="101">R$145+R$4/P$4/100</f>
        <v>2.5500000000000002E-2</v>
      </c>
      <c r="S176" s="4"/>
      <c r="T176" s="14">
        <v>172</v>
      </c>
      <c r="U176" s="12">
        <v>42176</v>
      </c>
      <c r="V176" s="29">
        <f t="shared" ref="V176:V185" si="102">V$145+V$4/T$4/100</f>
        <v>2.5500000000000002E-2</v>
      </c>
      <c r="AA176" s="30">
        <v>172</v>
      </c>
      <c r="AB176" s="12">
        <v>41080</v>
      </c>
      <c r="AC176" s="15">
        <f t="shared" si="93"/>
        <v>3.3458333333333333E-2</v>
      </c>
      <c r="AI176" s="60">
        <v>172</v>
      </c>
      <c r="AJ176" s="58">
        <v>41811</v>
      </c>
      <c r="AK176" s="61">
        <f t="shared" si="94"/>
        <v>2.5500000000000002E-2</v>
      </c>
      <c r="AL176" s="58">
        <v>42176</v>
      </c>
      <c r="AM176" s="61">
        <f t="shared" si="95"/>
        <v>2.5500000000000002E-2</v>
      </c>
      <c r="AO176" s="58">
        <v>41811</v>
      </c>
      <c r="AP176" s="61">
        <f t="shared" si="96"/>
        <v>2.9499999999999998E-2</v>
      </c>
      <c r="AQ176" s="58">
        <v>42176</v>
      </c>
      <c r="AR176" s="61">
        <f t="shared" si="97"/>
        <v>2.3499999999999997E-2</v>
      </c>
    </row>
    <row r="177" spans="4:44">
      <c r="D177" s="14">
        <v>173</v>
      </c>
      <c r="E177" s="12">
        <v>41447</v>
      </c>
      <c r="F177" s="15">
        <f t="shared" si="98"/>
        <v>3.4500000000000003E-2</v>
      </c>
      <c r="H177" s="14">
        <v>173</v>
      </c>
      <c r="I177" s="12">
        <v>41812</v>
      </c>
      <c r="J177" s="15">
        <f t="shared" si="99"/>
        <v>3.2499999999999994E-2</v>
      </c>
      <c r="K177" s="4"/>
      <c r="L177" s="14">
        <v>173</v>
      </c>
      <c r="M177" s="12">
        <v>42177</v>
      </c>
      <c r="N177" s="15">
        <f t="shared" si="100"/>
        <v>2.7500000000000004E-2</v>
      </c>
      <c r="O177" s="31"/>
      <c r="P177" s="14">
        <v>173</v>
      </c>
      <c r="Q177" s="12">
        <v>41812</v>
      </c>
      <c r="R177" s="15">
        <f t="shared" si="101"/>
        <v>2.5500000000000002E-2</v>
      </c>
      <c r="S177" s="4"/>
      <c r="T177" s="14">
        <v>173</v>
      </c>
      <c r="U177" s="12">
        <v>42177</v>
      </c>
      <c r="V177" s="15">
        <f t="shared" si="102"/>
        <v>2.5500000000000002E-2</v>
      </c>
      <c r="AA177" s="30">
        <v>173</v>
      </c>
      <c r="AB177" s="28">
        <v>41081</v>
      </c>
      <c r="AC177" s="29">
        <f t="shared" ref="AC177:AC186" si="103">AC$146+AC$4/AA$4/100</f>
        <v>3.6499999999999998E-2</v>
      </c>
      <c r="AI177" s="60">
        <v>173</v>
      </c>
      <c r="AJ177" s="58">
        <v>41812</v>
      </c>
      <c r="AK177" s="61">
        <f t="shared" si="94"/>
        <v>2.5500000000000002E-2</v>
      </c>
      <c r="AL177" s="58">
        <v>42177</v>
      </c>
      <c r="AM177" s="61">
        <f t="shared" si="95"/>
        <v>2.5500000000000002E-2</v>
      </c>
      <c r="AO177" s="58">
        <v>41812</v>
      </c>
      <c r="AP177" s="61">
        <f t="shared" si="96"/>
        <v>2.9499999999999998E-2</v>
      </c>
      <c r="AQ177" s="58">
        <v>42177</v>
      </c>
      <c r="AR177" s="61">
        <f t="shared" si="97"/>
        <v>2.3499999999999997E-2</v>
      </c>
    </row>
    <row r="178" spans="4:44">
      <c r="D178" s="14">
        <v>174</v>
      </c>
      <c r="E178" s="12">
        <v>41448</v>
      </c>
      <c r="F178" s="15">
        <f t="shared" si="98"/>
        <v>3.4500000000000003E-2</v>
      </c>
      <c r="H178" s="14">
        <v>174</v>
      </c>
      <c r="I178" s="12">
        <v>41813</v>
      </c>
      <c r="J178" s="15">
        <f t="shared" si="99"/>
        <v>3.2499999999999994E-2</v>
      </c>
      <c r="K178" s="4"/>
      <c r="L178" s="14">
        <v>174</v>
      </c>
      <c r="M178" s="12">
        <v>42178</v>
      </c>
      <c r="N178" s="15">
        <f t="shared" si="100"/>
        <v>2.7500000000000004E-2</v>
      </c>
      <c r="O178" s="31"/>
      <c r="P178" s="14">
        <v>174</v>
      </c>
      <c r="Q178" s="12">
        <v>41813</v>
      </c>
      <c r="R178" s="15">
        <f t="shared" si="101"/>
        <v>2.5500000000000002E-2</v>
      </c>
      <c r="S178" s="4"/>
      <c r="T178" s="14">
        <v>174</v>
      </c>
      <c r="U178" s="12">
        <v>42178</v>
      </c>
      <c r="V178" s="15">
        <f t="shared" si="102"/>
        <v>2.5500000000000002E-2</v>
      </c>
      <c r="AA178" s="14">
        <v>174</v>
      </c>
      <c r="AB178" s="12">
        <v>41082</v>
      </c>
      <c r="AC178" s="15">
        <f t="shared" si="103"/>
        <v>3.6499999999999998E-2</v>
      </c>
      <c r="AI178" s="60">
        <v>174</v>
      </c>
      <c r="AJ178" s="58">
        <v>41813</v>
      </c>
      <c r="AK178" s="61">
        <f t="shared" si="94"/>
        <v>2.5500000000000002E-2</v>
      </c>
      <c r="AL178" s="58">
        <v>42178</v>
      </c>
      <c r="AM178" s="61">
        <f t="shared" si="95"/>
        <v>2.5500000000000002E-2</v>
      </c>
      <c r="AO178" s="58">
        <v>41813</v>
      </c>
      <c r="AP178" s="61">
        <f t="shared" si="96"/>
        <v>2.9499999999999998E-2</v>
      </c>
      <c r="AQ178" s="58">
        <v>42178</v>
      </c>
      <c r="AR178" s="61">
        <f t="shared" si="97"/>
        <v>2.3499999999999997E-2</v>
      </c>
    </row>
    <row r="179" spans="4:44">
      <c r="D179" s="14">
        <v>175</v>
      </c>
      <c r="E179" s="12">
        <v>41449</v>
      </c>
      <c r="F179" s="15">
        <f t="shared" si="98"/>
        <v>3.4500000000000003E-2</v>
      </c>
      <c r="H179" s="14">
        <v>175</v>
      </c>
      <c r="I179" s="12">
        <v>41814</v>
      </c>
      <c r="J179" s="15">
        <f t="shared" si="99"/>
        <v>3.2499999999999994E-2</v>
      </c>
      <c r="K179" s="4"/>
      <c r="L179" s="14">
        <v>175</v>
      </c>
      <c r="M179" s="12">
        <v>42179</v>
      </c>
      <c r="N179" s="15">
        <f t="shared" si="100"/>
        <v>2.7500000000000004E-2</v>
      </c>
      <c r="O179" s="31"/>
      <c r="P179" s="14">
        <v>175</v>
      </c>
      <c r="Q179" s="12">
        <v>41814</v>
      </c>
      <c r="R179" s="15">
        <f t="shared" si="101"/>
        <v>2.5500000000000002E-2</v>
      </c>
      <c r="S179" s="4"/>
      <c r="T179" s="14">
        <v>175</v>
      </c>
      <c r="U179" s="12">
        <v>42179</v>
      </c>
      <c r="V179" s="15">
        <f t="shared" si="102"/>
        <v>2.5500000000000002E-2</v>
      </c>
      <c r="AA179" s="14">
        <v>175</v>
      </c>
      <c r="AB179" s="12">
        <v>41083</v>
      </c>
      <c r="AC179" s="15">
        <f t="shared" si="103"/>
        <v>3.6499999999999998E-2</v>
      </c>
      <c r="AI179" s="60">
        <v>175</v>
      </c>
      <c r="AJ179" s="58">
        <v>41814</v>
      </c>
      <c r="AK179" s="61">
        <f t="shared" si="94"/>
        <v>2.5500000000000002E-2</v>
      </c>
      <c r="AL179" s="58">
        <v>42179</v>
      </c>
      <c r="AM179" s="61">
        <f t="shared" si="95"/>
        <v>2.5500000000000002E-2</v>
      </c>
      <c r="AO179" s="58">
        <v>41814</v>
      </c>
      <c r="AP179" s="61">
        <f t="shared" si="96"/>
        <v>2.9499999999999998E-2</v>
      </c>
      <c r="AQ179" s="58">
        <v>42179</v>
      </c>
      <c r="AR179" s="61">
        <f t="shared" si="97"/>
        <v>2.3499999999999997E-2</v>
      </c>
    </row>
    <row r="180" spans="4:44">
      <c r="D180" s="14">
        <v>176</v>
      </c>
      <c r="E180" s="12">
        <v>41450</v>
      </c>
      <c r="F180" s="15">
        <f t="shared" si="98"/>
        <v>3.4500000000000003E-2</v>
      </c>
      <c r="H180" s="14">
        <v>176</v>
      </c>
      <c r="I180" s="12">
        <v>41815</v>
      </c>
      <c r="J180" s="15">
        <f t="shared" si="99"/>
        <v>3.2499999999999994E-2</v>
      </c>
      <c r="K180" s="4"/>
      <c r="L180" s="14">
        <v>176</v>
      </c>
      <c r="M180" s="12">
        <v>42180</v>
      </c>
      <c r="N180" s="15">
        <f t="shared" si="100"/>
        <v>2.7500000000000004E-2</v>
      </c>
      <c r="O180" s="31"/>
      <c r="P180" s="14">
        <v>176</v>
      </c>
      <c r="Q180" s="12">
        <v>41815</v>
      </c>
      <c r="R180" s="15">
        <f t="shared" si="101"/>
        <v>2.5500000000000002E-2</v>
      </c>
      <c r="S180" s="4"/>
      <c r="T180" s="14">
        <v>176</v>
      </c>
      <c r="U180" s="12">
        <v>42180</v>
      </c>
      <c r="V180" s="15">
        <f t="shared" si="102"/>
        <v>2.5500000000000002E-2</v>
      </c>
      <c r="AA180" s="14">
        <v>176</v>
      </c>
      <c r="AB180" s="12">
        <v>41084</v>
      </c>
      <c r="AC180" s="15">
        <f t="shared" si="103"/>
        <v>3.6499999999999998E-2</v>
      </c>
      <c r="AI180" s="60">
        <v>176</v>
      </c>
      <c r="AJ180" s="58">
        <v>41815</v>
      </c>
      <c r="AK180" s="61">
        <f t="shared" si="94"/>
        <v>2.5500000000000002E-2</v>
      </c>
      <c r="AL180" s="58">
        <v>42180</v>
      </c>
      <c r="AM180" s="61">
        <f t="shared" si="95"/>
        <v>2.5500000000000002E-2</v>
      </c>
      <c r="AO180" s="58">
        <v>41815</v>
      </c>
      <c r="AP180" s="61">
        <f t="shared" si="96"/>
        <v>2.9499999999999998E-2</v>
      </c>
      <c r="AQ180" s="58">
        <v>42180</v>
      </c>
      <c r="AR180" s="61">
        <f t="shared" si="97"/>
        <v>2.3499999999999997E-2</v>
      </c>
    </row>
    <row r="181" spans="4:44">
      <c r="D181" s="14">
        <v>177</v>
      </c>
      <c r="E181" s="12">
        <v>41451</v>
      </c>
      <c r="F181" s="15">
        <f t="shared" si="98"/>
        <v>3.4500000000000003E-2</v>
      </c>
      <c r="H181" s="14">
        <v>177</v>
      </c>
      <c r="I181" s="12">
        <v>41816</v>
      </c>
      <c r="J181" s="15">
        <f t="shared" si="99"/>
        <v>3.2499999999999994E-2</v>
      </c>
      <c r="K181" s="4"/>
      <c r="L181" s="14">
        <v>177</v>
      </c>
      <c r="M181" s="12">
        <v>42181</v>
      </c>
      <c r="N181" s="15">
        <f t="shared" si="100"/>
        <v>2.7500000000000004E-2</v>
      </c>
      <c r="O181" s="31"/>
      <c r="P181" s="14">
        <v>177</v>
      </c>
      <c r="Q181" s="12">
        <v>41816</v>
      </c>
      <c r="R181" s="15">
        <f t="shared" si="101"/>
        <v>2.5500000000000002E-2</v>
      </c>
      <c r="S181" s="4"/>
      <c r="T181" s="14">
        <v>177</v>
      </c>
      <c r="U181" s="12">
        <v>42181</v>
      </c>
      <c r="V181" s="15">
        <f t="shared" si="102"/>
        <v>2.5500000000000002E-2</v>
      </c>
      <c r="AA181" s="14">
        <v>177</v>
      </c>
      <c r="AB181" s="12">
        <v>41085</v>
      </c>
      <c r="AC181" s="15">
        <f t="shared" si="103"/>
        <v>3.6499999999999998E-2</v>
      </c>
      <c r="AI181" s="60">
        <v>177</v>
      </c>
      <c r="AJ181" s="58">
        <v>41816</v>
      </c>
      <c r="AK181" s="61">
        <f t="shared" si="94"/>
        <v>2.5500000000000002E-2</v>
      </c>
      <c r="AL181" s="58">
        <v>42181</v>
      </c>
      <c r="AM181" s="61">
        <f t="shared" si="95"/>
        <v>2.5500000000000002E-2</v>
      </c>
      <c r="AO181" s="58">
        <v>41816</v>
      </c>
      <c r="AP181" s="61">
        <f t="shared" si="96"/>
        <v>2.9499999999999998E-2</v>
      </c>
      <c r="AQ181" s="58">
        <v>42181</v>
      </c>
      <c r="AR181" s="61">
        <f t="shared" si="97"/>
        <v>2.3499999999999997E-2</v>
      </c>
    </row>
    <row r="182" spans="4:44">
      <c r="D182" s="14">
        <v>178</v>
      </c>
      <c r="E182" s="12">
        <v>41452</v>
      </c>
      <c r="F182" s="15">
        <f t="shared" si="98"/>
        <v>3.4500000000000003E-2</v>
      </c>
      <c r="H182" s="14">
        <v>178</v>
      </c>
      <c r="I182" s="12">
        <v>41817</v>
      </c>
      <c r="J182" s="15">
        <f t="shared" si="99"/>
        <v>3.2499999999999994E-2</v>
      </c>
      <c r="K182" s="4"/>
      <c r="L182" s="14">
        <v>178</v>
      </c>
      <c r="M182" s="12">
        <v>42182</v>
      </c>
      <c r="N182" s="15">
        <f t="shared" si="100"/>
        <v>2.7500000000000004E-2</v>
      </c>
      <c r="O182" s="31"/>
      <c r="P182" s="14">
        <v>178</v>
      </c>
      <c r="Q182" s="12">
        <v>41817</v>
      </c>
      <c r="R182" s="15">
        <f t="shared" si="101"/>
        <v>2.5500000000000002E-2</v>
      </c>
      <c r="S182" s="4"/>
      <c r="T182" s="14">
        <v>178</v>
      </c>
      <c r="U182" s="12">
        <v>42182</v>
      </c>
      <c r="V182" s="15">
        <f t="shared" si="102"/>
        <v>2.5500000000000002E-2</v>
      </c>
      <c r="AA182" s="14">
        <v>178</v>
      </c>
      <c r="AB182" s="12">
        <v>41086</v>
      </c>
      <c r="AC182" s="15">
        <f t="shared" si="103"/>
        <v>3.6499999999999998E-2</v>
      </c>
      <c r="AI182" s="60">
        <v>178</v>
      </c>
      <c r="AJ182" s="58">
        <v>41817</v>
      </c>
      <c r="AK182" s="61">
        <f t="shared" si="94"/>
        <v>2.5500000000000002E-2</v>
      </c>
      <c r="AL182" s="58">
        <v>42182</v>
      </c>
      <c r="AM182" s="61">
        <f t="shared" si="95"/>
        <v>2.5500000000000002E-2</v>
      </c>
      <c r="AO182" s="58">
        <v>41817</v>
      </c>
      <c r="AP182" s="61">
        <f t="shared" si="96"/>
        <v>2.9499999999999998E-2</v>
      </c>
      <c r="AQ182" s="58">
        <v>42182</v>
      </c>
      <c r="AR182" s="61">
        <f t="shared" si="97"/>
        <v>2.3499999999999997E-2</v>
      </c>
    </row>
    <row r="183" spans="4:44">
      <c r="D183" s="14">
        <v>179</v>
      </c>
      <c r="E183" s="12">
        <v>41453</v>
      </c>
      <c r="F183" s="15">
        <f t="shared" si="98"/>
        <v>3.4500000000000003E-2</v>
      </c>
      <c r="H183" s="14">
        <v>179</v>
      </c>
      <c r="I183" s="12">
        <v>41818</v>
      </c>
      <c r="J183" s="15">
        <f t="shared" si="99"/>
        <v>3.2499999999999994E-2</v>
      </c>
      <c r="K183" s="4"/>
      <c r="L183" s="14">
        <v>179</v>
      </c>
      <c r="M183" s="12">
        <v>42183</v>
      </c>
      <c r="N183" s="15">
        <f t="shared" si="100"/>
        <v>2.7500000000000004E-2</v>
      </c>
      <c r="O183" s="31"/>
      <c r="P183" s="14">
        <v>179</v>
      </c>
      <c r="Q183" s="12">
        <v>41818</v>
      </c>
      <c r="R183" s="15">
        <f t="shared" si="101"/>
        <v>2.5500000000000002E-2</v>
      </c>
      <c r="S183" s="4"/>
      <c r="T183" s="14">
        <v>179</v>
      </c>
      <c r="U183" s="12">
        <v>42183</v>
      </c>
      <c r="V183" s="15">
        <f t="shared" si="102"/>
        <v>2.5500000000000002E-2</v>
      </c>
      <c r="AA183" s="14">
        <v>179</v>
      </c>
      <c r="AB183" s="12">
        <v>41087</v>
      </c>
      <c r="AC183" s="15">
        <f t="shared" si="103"/>
        <v>3.6499999999999998E-2</v>
      </c>
      <c r="AI183" s="60">
        <v>179</v>
      </c>
      <c r="AJ183" s="58">
        <v>41818</v>
      </c>
      <c r="AK183" s="61">
        <f t="shared" si="94"/>
        <v>2.5500000000000002E-2</v>
      </c>
      <c r="AL183" s="58">
        <v>42183</v>
      </c>
      <c r="AM183" s="61">
        <f t="shared" si="95"/>
        <v>2.5500000000000002E-2</v>
      </c>
      <c r="AO183" s="58">
        <v>41818</v>
      </c>
      <c r="AP183" s="61">
        <f t="shared" si="96"/>
        <v>2.9499999999999998E-2</v>
      </c>
      <c r="AQ183" s="58">
        <v>42183</v>
      </c>
      <c r="AR183" s="61">
        <f t="shared" si="97"/>
        <v>2.3499999999999997E-2</v>
      </c>
    </row>
    <row r="184" spans="4:44">
      <c r="D184" s="14">
        <v>180</v>
      </c>
      <c r="E184" s="12">
        <v>41454</v>
      </c>
      <c r="F184" s="15">
        <f t="shared" si="98"/>
        <v>3.4500000000000003E-2</v>
      </c>
      <c r="H184" s="14">
        <v>180</v>
      </c>
      <c r="I184" s="12">
        <v>41819</v>
      </c>
      <c r="J184" s="15">
        <f t="shared" si="99"/>
        <v>3.2499999999999994E-2</v>
      </c>
      <c r="K184" s="4"/>
      <c r="L184" s="14">
        <v>180</v>
      </c>
      <c r="M184" s="12">
        <v>42184</v>
      </c>
      <c r="N184" s="15">
        <f t="shared" si="100"/>
        <v>2.7500000000000004E-2</v>
      </c>
      <c r="O184" s="31"/>
      <c r="P184" s="14">
        <v>180</v>
      </c>
      <c r="Q184" s="12">
        <v>41819</v>
      </c>
      <c r="R184" s="15">
        <f t="shared" si="101"/>
        <v>2.5500000000000002E-2</v>
      </c>
      <c r="S184" s="4"/>
      <c r="T184" s="14">
        <v>180</v>
      </c>
      <c r="U184" s="12">
        <v>42184</v>
      </c>
      <c r="V184" s="15">
        <f t="shared" si="102"/>
        <v>2.5500000000000002E-2</v>
      </c>
      <c r="AA184" s="14">
        <v>180</v>
      </c>
      <c r="AB184" s="12">
        <v>41088</v>
      </c>
      <c r="AC184" s="15">
        <f t="shared" si="103"/>
        <v>3.6499999999999998E-2</v>
      </c>
      <c r="AI184" s="60">
        <v>180</v>
      </c>
      <c r="AJ184" s="58">
        <v>41819</v>
      </c>
      <c r="AK184" s="61">
        <f t="shared" si="94"/>
        <v>2.5500000000000002E-2</v>
      </c>
      <c r="AL184" s="58">
        <v>42184</v>
      </c>
      <c r="AM184" s="61">
        <f t="shared" si="95"/>
        <v>2.5500000000000002E-2</v>
      </c>
      <c r="AO184" s="58">
        <v>41819</v>
      </c>
      <c r="AP184" s="61">
        <f t="shared" si="96"/>
        <v>2.9499999999999998E-2</v>
      </c>
      <c r="AQ184" s="58">
        <v>42184</v>
      </c>
      <c r="AR184" s="61">
        <f t="shared" si="97"/>
        <v>2.3499999999999997E-2</v>
      </c>
    </row>
    <row r="185" spans="4:44">
      <c r="D185" s="14">
        <v>181</v>
      </c>
      <c r="E185" s="12">
        <v>41455</v>
      </c>
      <c r="F185" s="15">
        <f t="shared" si="98"/>
        <v>3.4500000000000003E-2</v>
      </c>
      <c r="H185" s="14">
        <v>181</v>
      </c>
      <c r="I185" s="12">
        <v>41820</v>
      </c>
      <c r="J185" s="15">
        <f t="shared" si="99"/>
        <v>3.2499999999999994E-2</v>
      </c>
      <c r="K185" s="4"/>
      <c r="L185" s="14">
        <v>181</v>
      </c>
      <c r="M185" s="12">
        <v>42185</v>
      </c>
      <c r="N185" s="15">
        <f t="shared" si="100"/>
        <v>2.7500000000000004E-2</v>
      </c>
      <c r="O185" s="31"/>
      <c r="P185" s="14">
        <v>181</v>
      </c>
      <c r="Q185" s="12">
        <v>41820</v>
      </c>
      <c r="R185" s="15">
        <f t="shared" si="101"/>
        <v>2.5500000000000002E-2</v>
      </c>
      <c r="S185" s="4"/>
      <c r="T185" s="14">
        <v>181</v>
      </c>
      <c r="U185" s="12">
        <v>42185</v>
      </c>
      <c r="V185" s="15">
        <f t="shared" si="102"/>
        <v>2.5500000000000002E-2</v>
      </c>
      <c r="AA185" s="14">
        <v>181</v>
      </c>
      <c r="AB185" s="12">
        <v>41089</v>
      </c>
      <c r="AC185" s="15">
        <f t="shared" si="103"/>
        <v>3.6499999999999998E-2</v>
      </c>
      <c r="AI185" s="60">
        <v>181</v>
      </c>
      <c r="AJ185" s="58">
        <v>41820</v>
      </c>
      <c r="AK185" s="61">
        <f t="shared" si="94"/>
        <v>2.5500000000000002E-2</v>
      </c>
      <c r="AL185" s="58">
        <v>42185</v>
      </c>
      <c r="AM185" s="61">
        <f t="shared" si="95"/>
        <v>2.5500000000000002E-2</v>
      </c>
      <c r="AO185" s="58">
        <v>41820</v>
      </c>
      <c r="AP185" s="61">
        <f t="shared" si="96"/>
        <v>2.9499999999999998E-2</v>
      </c>
      <c r="AQ185" s="58">
        <v>42185</v>
      </c>
      <c r="AR185" s="61">
        <f t="shared" si="97"/>
        <v>2.3499999999999997E-2</v>
      </c>
    </row>
    <row r="186" spans="4:44">
      <c r="D186" s="14">
        <v>182</v>
      </c>
      <c r="E186" s="12">
        <v>41456</v>
      </c>
      <c r="F186" s="29">
        <f t="shared" ref="F186:F205" si="104">F$157+F$4/D$4/100</f>
        <v>3.7375000000000005E-2</v>
      </c>
      <c r="H186" s="14">
        <v>182</v>
      </c>
      <c r="I186" s="12">
        <v>41821</v>
      </c>
      <c r="J186" s="29">
        <f t="shared" ref="J186:J205" si="105">J$157+J$4/H$4/100</f>
        <v>3.5208333333333328E-2</v>
      </c>
      <c r="K186" s="4"/>
      <c r="L186" s="14">
        <v>182</v>
      </c>
      <c r="M186" s="12">
        <v>42186</v>
      </c>
      <c r="N186" s="29">
        <f t="shared" ref="N186:N205" si="106">N$157+N$4/L$4/100</f>
        <v>2.9791666666666675E-2</v>
      </c>
      <c r="O186" s="31"/>
      <c r="P186" s="14">
        <v>182</v>
      </c>
      <c r="Q186" s="12">
        <v>41821</v>
      </c>
      <c r="R186" s="29">
        <f t="shared" ref="R186:R205" si="107">R$157+R$4/P$4/100</f>
        <v>2.7625000000000004E-2</v>
      </c>
      <c r="S186" s="4"/>
      <c r="T186" s="14">
        <v>182</v>
      </c>
      <c r="U186" s="12">
        <v>42186</v>
      </c>
      <c r="V186" s="29">
        <f t="shared" ref="V186:V205" si="108">V$157+V$4/T$4/100</f>
        <v>2.7625000000000004E-2</v>
      </c>
      <c r="AA186" s="30">
        <v>182</v>
      </c>
      <c r="AB186" s="12">
        <v>41090</v>
      </c>
      <c r="AC186" s="15">
        <f t="shared" si="103"/>
        <v>3.6499999999999998E-2</v>
      </c>
      <c r="AI186" s="60">
        <v>182</v>
      </c>
      <c r="AJ186" s="63">
        <v>41821</v>
      </c>
      <c r="AK186" s="61">
        <f t="shared" si="94"/>
        <v>2.5500000000000002E-2</v>
      </c>
      <c r="AL186" s="58">
        <v>42186</v>
      </c>
      <c r="AM186" s="61">
        <f t="shared" si="95"/>
        <v>2.5500000000000002E-2</v>
      </c>
      <c r="AO186" s="63">
        <v>41821</v>
      </c>
      <c r="AP186" s="61">
        <f t="shared" si="96"/>
        <v>2.9499999999999998E-2</v>
      </c>
      <c r="AQ186" s="58">
        <v>42186</v>
      </c>
      <c r="AR186" s="61">
        <f t="shared" si="97"/>
        <v>2.3499999999999997E-2</v>
      </c>
    </row>
    <row r="187" spans="4:44">
      <c r="D187" s="14">
        <v>183</v>
      </c>
      <c r="E187" s="12">
        <v>41457</v>
      </c>
      <c r="F187" s="15">
        <f t="shared" si="104"/>
        <v>3.7375000000000005E-2</v>
      </c>
      <c r="H187" s="14">
        <v>183</v>
      </c>
      <c r="I187" s="12">
        <v>41822</v>
      </c>
      <c r="J187" s="15">
        <f t="shared" si="105"/>
        <v>3.5208333333333328E-2</v>
      </c>
      <c r="K187" s="4"/>
      <c r="L187" s="14">
        <v>183</v>
      </c>
      <c r="M187" s="12">
        <v>42187</v>
      </c>
      <c r="N187" s="15">
        <f t="shared" si="106"/>
        <v>2.9791666666666675E-2</v>
      </c>
      <c r="O187" s="31"/>
      <c r="P187" s="14">
        <v>183</v>
      </c>
      <c r="Q187" s="12">
        <v>41822</v>
      </c>
      <c r="R187" s="15">
        <f t="shared" si="107"/>
        <v>2.7625000000000004E-2</v>
      </c>
      <c r="S187" s="4"/>
      <c r="T187" s="14">
        <v>183</v>
      </c>
      <c r="U187" s="12">
        <v>42187</v>
      </c>
      <c r="V187" s="15">
        <f t="shared" si="108"/>
        <v>2.7625000000000004E-2</v>
      </c>
      <c r="AA187" s="30">
        <v>183</v>
      </c>
      <c r="AB187" s="28">
        <v>41091</v>
      </c>
      <c r="AC187" s="29">
        <f t="shared" ref="AC187:AC206" si="109">AC$157+AC$4/AA$4/100</f>
        <v>3.9541666666666669E-2</v>
      </c>
      <c r="AI187" s="60">
        <v>183</v>
      </c>
      <c r="AJ187" s="58">
        <v>41822</v>
      </c>
      <c r="AK187" s="61">
        <f t="shared" si="94"/>
        <v>2.5500000000000002E-2</v>
      </c>
      <c r="AL187" s="58">
        <v>42187</v>
      </c>
      <c r="AM187" s="61">
        <f t="shared" si="95"/>
        <v>2.5500000000000002E-2</v>
      </c>
      <c r="AO187" s="58">
        <v>41822</v>
      </c>
      <c r="AP187" s="61">
        <f t="shared" si="96"/>
        <v>2.9499999999999998E-2</v>
      </c>
      <c r="AQ187" s="58">
        <v>42187</v>
      </c>
      <c r="AR187" s="61">
        <f t="shared" si="97"/>
        <v>2.3499999999999997E-2</v>
      </c>
    </row>
    <row r="188" spans="4:44">
      <c r="D188" s="14">
        <v>184</v>
      </c>
      <c r="E188" s="12">
        <v>41458</v>
      </c>
      <c r="F188" s="15">
        <f t="shared" si="104"/>
        <v>3.7375000000000005E-2</v>
      </c>
      <c r="H188" s="14">
        <v>184</v>
      </c>
      <c r="I188" s="12">
        <v>41823</v>
      </c>
      <c r="J188" s="15">
        <f t="shared" si="105"/>
        <v>3.5208333333333328E-2</v>
      </c>
      <c r="K188" s="4"/>
      <c r="L188" s="14">
        <v>184</v>
      </c>
      <c r="M188" s="12">
        <v>42188</v>
      </c>
      <c r="N188" s="15">
        <f t="shared" si="106"/>
        <v>2.9791666666666675E-2</v>
      </c>
      <c r="O188" s="31"/>
      <c r="P188" s="14">
        <v>184</v>
      </c>
      <c r="Q188" s="12">
        <v>41823</v>
      </c>
      <c r="R188" s="15">
        <f t="shared" si="107"/>
        <v>2.7625000000000004E-2</v>
      </c>
      <c r="S188" s="4"/>
      <c r="T188" s="14">
        <v>184</v>
      </c>
      <c r="U188" s="12">
        <v>42188</v>
      </c>
      <c r="V188" s="15">
        <f t="shared" si="108"/>
        <v>2.7625000000000004E-2</v>
      </c>
      <c r="AA188" s="14">
        <v>184</v>
      </c>
      <c r="AB188" s="12">
        <v>41092</v>
      </c>
      <c r="AC188" s="15">
        <f t="shared" si="109"/>
        <v>3.9541666666666669E-2</v>
      </c>
      <c r="AI188" s="60">
        <v>184</v>
      </c>
      <c r="AJ188" s="58">
        <v>41823</v>
      </c>
      <c r="AK188" s="61">
        <f t="shared" si="94"/>
        <v>2.5500000000000002E-2</v>
      </c>
      <c r="AL188" s="58">
        <v>42188</v>
      </c>
      <c r="AM188" s="61">
        <f t="shared" si="95"/>
        <v>2.5500000000000002E-2</v>
      </c>
      <c r="AO188" s="58">
        <v>41823</v>
      </c>
      <c r="AP188" s="61">
        <f t="shared" si="96"/>
        <v>2.9499999999999998E-2</v>
      </c>
      <c r="AQ188" s="58">
        <v>42188</v>
      </c>
      <c r="AR188" s="61">
        <f t="shared" si="97"/>
        <v>2.3499999999999997E-2</v>
      </c>
    </row>
    <row r="189" spans="4:44">
      <c r="D189" s="14">
        <v>185</v>
      </c>
      <c r="E189" s="12">
        <v>41459</v>
      </c>
      <c r="F189" s="15">
        <f t="shared" si="104"/>
        <v>3.7375000000000005E-2</v>
      </c>
      <c r="H189" s="14">
        <v>185</v>
      </c>
      <c r="I189" s="12">
        <v>41824</v>
      </c>
      <c r="J189" s="15">
        <f t="shared" si="105"/>
        <v>3.5208333333333328E-2</v>
      </c>
      <c r="K189" s="4"/>
      <c r="L189" s="14">
        <v>185</v>
      </c>
      <c r="M189" s="12">
        <v>42189</v>
      </c>
      <c r="N189" s="15">
        <f t="shared" si="106"/>
        <v>2.9791666666666675E-2</v>
      </c>
      <c r="O189" s="31"/>
      <c r="P189" s="14">
        <v>185</v>
      </c>
      <c r="Q189" s="12">
        <v>41824</v>
      </c>
      <c r="R189" s="15">
        <f t="shared" si="107"/>
        <v>2.7625000000000004E-2</v>
      </c>
      <c r="S189" s="4"/>
      <c r="T189" s="14">
        <v>185</v>
      </c>
      <c r="U189" s="12">
        <v>42189</v>
      </c>
      <c r="V189" s="15">
        <f t="shared" si="108"/>
        <v>2.7625000000000004E-2</v>
      </c>
      <c r="AA189" s="14">
        <v>185</v>
      </c>
      <c r="AB189" s="12">
        <v>41093</v>
      </c>
      <c r="AC189" s="15">
        <f t="shared" si="109"/>
        <v>3.9541666666666669E-2</v>
      </c>
      <c r="AI189" s="60">
        <v>185</v>
      </c>
      <c r="AJ189" s="58">
        <v>41824</v>
      </c>
      <c r="AK189" s="61">
        <f t="shared" si="94"/>
        <v>2.5500000000000002E-2</v>
      </c>
      <c r="AL189" s="58">
        <v>42189</v>
      </c>
      <c r="AM189" s="61">
        <f t="shared" si="95"/>
        <v>2.5500000000000002E-2</v>
      </c>
      <c r="AO189" s="58">
        <v>41824</v>
      </c>
      <c r="AP189" s="61">
        <f t="shared" si="96"/>
        <v>2.9499999999999998E-2</v>
      </c>
      <c r="AQ189" s="58">
        <v>42189</v>
      </c>
      <c r="AR189" s="61">
        <f t="shared" si="97"/>
        <v>2.3499999999999997E-2</v>
      </c>
    </row>
    <row r="190" spans="4:44">
      <c r="D190" s="14">
        <v>186</v>
      </c>
      <c r="E190" s="12">
        <v>41460</v>
      </c>
      <c r="F190" s="15">
        <f t="shared" si="104"/>
        <v>3.7375000000000005E-2</v>
      </c>
      <c r="H190" s="14">
        <v>186</v>
      </c>
      <c r="I190" s="12">
        <v>41825</v>
      </c>
      <c r="J190" s="15">
        <f t="shared" si="105"/>
        <v>3.5208333333333328E-2</v>
      </c>
      <c r="K190" s="4"/>
      <c r="L190" s="14">
        <v>186</v>
      </c>
      <c r="M190" s="12">
        <v>42190</v>
      </c>
      <c r="N190" s="15">
        <f t="shared" si="106"/>
        <v>2.9791666666666675E-2</v>
      </c>
      <c r="O190" s="31"/>
      <c r="P190" s="14">
        <v>186</v>
      </c>
      <c r="Q190" s="12">
        <v>41825</v>
      </c>
      <c r="R190" s="15">
        <f t="shared" si="107"/>
        <v>2.7625000000000004E-2</v>
      </c>
      <c r="S190" s="4"/>
      <c r="T190" s="14">
        <v>186</v>
      </c>
      <c r="U190" s="12">
        <v>42190</v>
      </c>
      <c r="V190" s="15">
        <f t="shared" si="108"/>
        <v>2.7625000000000004E-2</v>
      </c>
      <c r="AA190" s="14">
        <v>186</v>
      </c>
      <c r="AB190" s="12">
        <v>41094</v>
      </c>
      <c r="AC190" s="15">
        <f t="shared" si="109"/>
        <v>3.9541666666666669E-2</v>
      </c>
      <c r="AI190" s="60">
        <v>186</v>
      </c>
      <c r="AJ190" s="58">
        <v>41825</v>
      </c>
      <c r="AK190" s="61">
        <f t="shared" si="94"/>
        <v>2.5500000000000002E-2</v>
      </c>
      <c r="AL190" s="58">
        <v>42190</v>
      </c>
      <c r="AM190" s="61">
        <f t="shared" si="95"/>
        <v>2.5500000000000002E-2</v>
      </c>
      <c r="AO190" s="58">
        <v>41825</v>
      </c>
      <c r="AP190" s="61">
        <f t="shared" si="96"/>
        <v>2.9499999999999998E-2</v>
      </c>
      <c r="AQ190" s="58">
        <v>42190</v>
      </c>
      <c r="AR190" s="61">
        <f t="shared" si="97"/>
        <v>2.3499999999999997E-2</v>
      </c>
    </row>
    <row r="191" spans="4:44">
      <c r="D191" s="14">
        <v>187</v>
      </c>
      <c r="E191" s="12">
        <v>41461</v>
      </c>
      <c r="F191" s="15">
        <f t="shared" si="104"/>
        <v>3.7375000000000005E-2</v>
      </c>
      <c r="H191" s="14">
        <v>187</v>
      </c>
      <c r="I191" s="12">
        <v>41826</v>
      </c>
      <c r="J191" s="15">
        <f t="shared" si="105"/>
        <v>3.5208333333333328E-2</v>
      </c>
      <c r="K191" s="4"/>
      <c r="L191" s="14">
        <v>187</v>
      </c>
      <c r="M191" s="12">
        <v>42191</v>
      </c>
      <c r="N191" s="15">
        <f t="shared" si="106"/>
        <v>2.9791666666666675E-2</v>
      </c>
      <c r="O191" s="31"/>
      <c r="P191" s="14">
        <v>187</v>
      </c>
      <c r="Q191" s="12">
        <v>41826</v>
      </c>
      <c r="R191" s="15">
        <f t="shared" si="107"/>
        <v>2.7625000000000004E-2</v>
      </c>
      <c r="S191" s="4"/>
      <c r="T191" s="14">
        <v>187</v>
      </c>
      <c r="U191" s="12">
        <v>42191</v>
      </c>
      <c r="V191" s="15">
        <f t="shared" si="108"/>
        <v>2.7625000000000004E-2</v>
      </c>
      <c r="AA191" s="14">
        <v>187</v>
      </c>
      <c r="AB191" s="12">
        <v>41095</v>
      </c>
      <c r="AC191" s="15">
        <f t="shared" si="109"/>
        <v>3.9541666666666669E-2</v>
      </c>
      <c r="AI191" s="60">
        <v>187</v>
      </c>
      <c r="AJ191" s="58">
        <v>41826</v>
      </c>
      <c r="AK191" s="64">
        <f t="shared" ref="AK191:AK221" si="110">AK$190+AK$4/AI$4/100</f>
        <v>2.9750000000000002E-2</v>
      </c>
      <c r="AL191" s="58">
        <v>42191</v>
      </c>
      <c r="AM191" s="64">
        <f t="shared" ref="AM191:AM221" si="111">AM$190+AM$4/AI$4/100</f>
        <v>2.9750000000000002E-2</v>
      </c>
      <c r="AO191" s="58">
        <v>41826</v>
      </c>
      <c r="AP191" s="64">
        <f t="shared" ref="AP191:AP221" si="112">AP$190+AP$4/AI$4/100</f>
        <v>3.4416666666666665E-2</v>
      </c>
      <c r="AQ191" s="58">
        <v>42191</v>
      </c>
      <c r="AR191" s="64">
        <f t="shared" ref="AR191:AR221" si="113">AR$190+AR$4/AI$4/100</f>
        <v>2.7416666666666662E-2</v>
      </c>
    </row>
    <row r="192" spans="4:44">
      <c r="D192" s="14">
        <v>188</v>
      </c>
      <c r="E192" s="12">
        <v>41462</v>
      </c>
      <c r="F192" s="15">
        <f t="shared" si="104"/>
        <v>3.7375000000000005E-2</v>
      </c>
      <c r="H192" s="14">
        <v>188</v>
      </c>
      <c r="I192" s="12">
        <v>41827</v>
      </c>
      <c r="J192" s="15">
        <f t="shared" si="105"/>
        <v>3.5208333333333328E-2</v>
      </c>
      <c r="K192" s="4"/>
      <c r="L192" s="14">
        <v>188</v>
      </c>
      <c r="M192" s="12">
        <v>42192</v>
      </c>
      <c r="N192" s="15">
        <f t="shared" si="106"/>
        <v>2.9791666666666675E-2</v>
      </c>
      <c r="O192" s="31"/>
      <c r="P192" s="14">
        <v>188</v>
      </c>
      <c r="Q192" s="12">
        <v>41827</v>
      </c>
      <c r="R192" s="15">
        <f t="shared" si="107"/>
        <v>2.7625000000000004E-2</v>
      </c>
      <c r="S192" s="4"/>
      <c r="T192" s="14">
        <v>188</v>
      </c>
      <c r="U192" s="12">
        <v>42192</v>
      </c>
      <c r="V192" s="15">
        <f t="shared" si="108"/>
        <v>2.7625000000000004E-2</v>
      </c>
      <c r="AA192" s="14">
        <v>188</v>
      </c>
      <c r="AB192" s="12">
        <v>41096</v>
      </c>
      <c r="AC192" s="15">
        <f t="shared" si="109"/>
        <v>3.9541666666666669E-2</v>
      </c>
      <c r="AI192" s="60">
        <v>188</v>
      </c>
      <c r="AJ192" s="58">
        <v>41827</v>
      </c>
      <c r="AK192" s="61">
        <f t="shared" si="110"/>
        <v>2.9750000000000002E-2</v>
      </c>
      <c r="AL192" s="58">
        <v>42192</v>
      </c>
      <c r="AM192" s="61">
        <f t="shared" si="111"/>
        <v>2.9750000000000002E-2</v>
      </c>
      <c r="AO192" s="58">
        <v>41827</v>
      </c>
      <c r="AP192" s="61">
        <f t="shared" si="112"/>
        <v>3.4416666666666665E-2</v>
      </c>
      <c r="AQ192" s="58">
        <v>42192</v>
      </c>
      <c r="AR192" s="61">
        <f t="shared" si="113"/>
        <v>2.7416666666666662E-2</v>
      </c>
    </row>
    <row r="193" spans="4:44">
      <c r="D193" s="14">
        <v>189</v>
      </c>
      <c r="E193" s="12">
        <v>41463</v>
      </c>
      <c r="F193" s="15">
        <f t="shared" si="104"/>
        <v>3.7375000000000005E-2</v>
      </c>
      <c r="H193" s="14">
        <v>189</v>
      </c>
      <c r="I193" s="12">
        <v>41828</v>
      </c>
      <c r="J193" s="15">
        <f t="shared" si="105"/>
        <v>3.5208333333333328E-2</v>
      </c>
      <c r="K193" s="4"/>
      <c r="L193" s="14">
        <v>189</v>
      </c>
      <c r="M193" s="12">
        <v>42193</v>
      </c>
      <c r="N193" s="15">
        <f t="shared" si="106"/>
        <v>2.9791666666666675E-2</v>
      </c>
      <c r="O193" s="31"/>
      <c r="P193" s="14">
        <v>189</v>
      </c>
      <c r="Q193" s="12">
        <v>41828</v>
      </c>
      <c r="R193" s="15">
        <f t="shared" si="107"/>
        <v>2.7625000000000004E-2</v>
      </c>
      <c r="S193" s="4"/>
      <c r="T193" s="14">
        <v>189</v>
      </c>
      <c r="U193" s="12">
        <v>42193</v>
      </c>
      <c r="V193" s="15">
        <f t="shared" si="108"/>
        <v>2.7625000000000004E-2</v>
      </c>
      <c r="AA193" s="14">
        <v>189</v>
      </c>
      <c r="AB193" s="12">
        <v>41097</v>
      </c>
      <c r="AC193" s="15">
        <f t="shared" si="109"/>
        <v>3.9541666666666669E-2</v>
      </c>
      <c r="AI193" s="60">
        <v>189</v>
      </c>
      <c r="AJ193" s="58">
        <v>41828</v>
      </c>
      <c r="AK193" s="61">
        <f t="shared" si="110"/>
        <v>2.9750000000000002E-2</v>
      </c>
      <c r="AL193" s="58">
        <v>42193</v>
      </c>
      <c r="AM193" s="61">
        <f t="shared" si="111"/>
        <v>2.9750000000000002E-2</v>
      </c>
      <c r="AO193" s="58">
        <v>41828</v>
      </c>
      <c r="AP193" s="61">
        <f t="shared" si="112"/>
        <v>3.4416666666666665E-2</v>
      </c>
      <c r="AQ193" s="58">
        <v>42193</v>
      </c>
      <c r="AR193" s="61">
        <f t="shared" si="113"/>
        <v>2.7416666666666662E-2</v>
      </c>
    </row>
    <row r="194" spans="4:44">
      <c r="D194" s="14">
        <v>190</v>
      </c>
      <c r="E194" s="12">
        <v>41464</v>
      </c>
      <c r="F194" s="15">
        <f t="shared" si="104"/>
        <v>3.7375000000000005E-2</v>
      </c>
      <c r="H194" s="14">
        <v>190</v>
      </c>
      <c r="I194" s="12">
        <v>41829</v>
      </c>
      <c r="J194" s="15">
        <f t="shared" si="105"/>
        <v>3.5208333333333328E-2</v>
      </c>
      <c r="K194" s="4"/>
      <c r="L194" s="14">
        <v>190</v>
      </c>
      <c r="M194" s="12">
        <v>42194</v>
      </c>
      <c r="N194" s="15">
        <f t="shared" si="106"/>
        <v>2.9791666666666675E-2</v>
      </c>
      <c r="O194" s="31"/>
      <c r="P194" s="14">
        <v>190</v>
      </c>
      <c r="Q194" s="12">
        <v>41829</v>
      </c>
      <c r="R194" s="15">
        <f t="shared" si="107"/>
        <v>2.7625000000000004E-2</v>
      </c>
      <c r="S194" s="4"/>
      <c r="T194" s="14">
        <v>190</v>
      </c>
      <c r="U194" s="12">
        <v>42194</v>
      </c>
      <c r="V194" s="15">
        <f t="shared" si="108"/>
        <v>2.7625000000000004E-2</v>
      </c>
      <c r="AA194" s="14">
        <v>190</v>
      </c>
      <c r="AB194" s="12">
        <v>41098</v>
      </c>
      <c r="AC194" s="15">
        <f t="shared" si="109"/>
        <v>3.9541666666666669E-2</v>
      </c>
      <c r="AI194" s="60">
        <v>190</v>
      </c>
      <c r="AJ194" s="58">
        <v>41829</v>
      </c>
      <c r="AK194" s="61">
        <f t="shared" si="110"/>
        <v>2.9750000000000002E-2</v>
      </c>
      <c r="AL194" s="58">
        <v>42194</v>
      </c>
      <c r="AM194" s="61">
        <f t="shared" si="111"/>
        <v>2.9750000000000002E-2</v>
      </c>
      <c r="AO194" s="58">
        <v>41829</v>
      </c>
      <c r="AP194" s="61">
        <f t="shared" si="112"/>
        <v>3.4416666666666665E-2</v>
      </c>
      <c r="AQ194" s="58">
        <v>42194</v>
      </c>
      <c r="AR194" s="61">
        <f t="shared" si="113"/>
        <v>2.7416666666666662E-2</v>
      </c>
    </row>
    <row r="195" spans="4:44">
      <c r="D195" s="14">
        <v>191</v>
      </c>
      <c r="E195" s="12">
        <v>41465</v>
      </c>
      <c r="F195" s="15">
        <f t="shared" si="104"/>
        <v>3.7375000000000005E-2</v>
      </c>
      <c r="H195" s="14">
        <v>191</v>
      </c>
      <c r="I195" s="12">
        <v>41830</v>
      </c>
      <c r="J195" s="15">
        <f t="shared" si="105"/>
        <v>3.5208333333333328E-2</v>
      </c>
      <c r="K195" s="4"/>
      <c r="L195" s="14">
        <v>191</v>
      </c>
      <c r="M195" s="12">
        <v>42195</v>
      </c>
      <c r="N195" s="15">
        <f t="shared" si="106"/>
        <v>2.9791666666666675E-2</v>
      </c>
      <c r="O195" s="31"/>
      <c r="P195" s="14">
        <v>191</v>
      </c>
      <c r="Q195" s="12">
        <v>41830</v>
      </c>
      <c r="R195" s="15">
        <f t="shared" si="107"/>
        <v>2.7625000000000004E-2</v>
      </c>
      <c r="S195" s="4"/>
      <c r="T195" s="14">
        <v>191</v>
      </c>
      <c r="U195" s="12">
        <v>42195</v>
      </c>
      <c r="V195" s="15">
        <f t="shared" si="108"/>
        <v>2.7625000000000004E-2</v>
      </c>
      <c r="AA195" s="14">
        <v>191</v>
      </c>
      <c r="AB195" s="12">
        <v>41099</v>
      </c>
      <c r="AC195" s="15">
        <f t="shared" si="109"/>
        <v>3.9541666666666669E-2</v>
      </c>
      <c r="AI195" s="60">
        <v>191</v>
      </c>
      <c r="AJ195" s="58">
        <v>41830</v>
      </c>
      <c r="AK195" s="61">
        <f t="shared" si="110"/>
        <v>2.9750000000000002E-2</v>
      </c>
      <c r="AL195" s="58">
        <v>42195</v>
      </c>
      <c r="AM195" s="61">
        <f t="shared" si="111"/>
        <v>2.9750000000000002E-2</v>
      </c>
      <c r="AO195" s="58">
        <v>41830</v>
      </c>
      <c r="AP195" s="61">
        <f t="shared" si="112"/>
        <v>3.4416666666666665E-2</v>
      </c>
      <c r="AQ195" s="58">
        <v>42195</v>
      </c>
      <c r="AR195" s="61">
        <f t="shared" si="113"/>
        <v>2.7416666666666662E-2</v>
      </c>
    </row>
    <row r="196" spans="4:44">
      <c r="D196" s="14">
        <v>192</v>
      </c>
      <c r="E196" s="12">
        <v>41466</v>
      </c>
      <c r="F196" s="15">
        <f t="shared" si="104"/>
        <v>3.7375000000000005E-2</v>
      </c>
      <c r="H196" s="14">
        <v>192</v>
      </c>
      <c r="I196" s="12">
        <v>41831</v>
      </c>
      <c r="J196" s="15">
        <f t="shared" si="105"/>
        <v>3.5208333333333328E-2</v>
      </c>
      <c r="K196" s="4"/>
      <c r="L196" s="14">
        <v>192</v>
      </c>
      <c r="M196" s="12">
        <v>42196</v>
      </c>
      <c r="N196" s="15">
        <f t="shared" si="106"/>
        <v>2.9791666666666675E-2</v>
      </c>
      <c r="O196" s="31"/>
      <c r="P196" s="14">
        <v>192</v>
      </c>
      <c r="Q196" s="12">
        <v>41831</v>
      </c>
      <c r="R196" s="15">
        <f t="shared" si="107"/>
        <v>2.7625000000000004E-2</v>
      </c>
      <c r="S196" s="4"/>
      <c r="T196" s="14">
        <v>192</v>
      </c>
      <c r="U196" s="12">
        <v>42196</v>
      </c>
      <c r="V196" s="15">
        <f t="shared" si="108"/>
        <v>2.7625000000000004E-2</v>
      </c>
      <c r="AA196" s="14">
        <v>192</v>
      </c>
      <c r="AB196" s="12">
        <v>41100</v>
      </c>
      <c r="AC196" s="15">
        <f t="shared" si="109"/>
        <v>3.9541666666666669E-2</v>
      </c>
      <c r="AI196" s="60">
        <v>192</v>
      </c>
      <c r="AJ196" s="58">
        <v>41831</v>
      </c>
      <c r="AK196" s="61">
        <f t="shared" si="110"/>
        <v>2.9750000000000002E-2</v>
      </c>
      <c r="AL196" s="58">
        <v>42196</v>
      </c>
      <c r="AM196" s="61">
        <f t="shared" si="111"/>
        <v>2.9750000000000002E-2</v>
      </c>
      <c r="AO196" s="58">
        <v>41831</v>
      </c>
      <c r="AP196" s="61">
        <f t="shared" si="112"/>
        <v>3.4416666666666665E-2</v>
      </c>
      <c r="AQ196" s="58">
        <v>42196</v>
      </c>
      <c r="AR196" s="61">
        <f t="shared" si="113"/>
        <v>2.7416666666666662E-2</v>
      </c>
    </row>
    <row r="197" spans="4:44">
      <c r="D197" s="14">
        <v>193</v>
      </c>
      <c r="E197" s="12">
        <v>41467</v>
      </c>
      <c r="F197" s="15">
        <f t="shared" si="104"/>
        <v>3.7375000000000005E-2</v>
      </c>
      <c r="H197" s="14">
        <v>193</v>
      </c>
      <c r="I197" s="12">
        <v>41832</v>
      </c>
      <c r="J197" s="15">
        <f t="shared" si="105"/>
        <v>3.5208333333333328E-2</v>
      </c>
      <c r="K197" s="4"/>
      <c r="L197" s="14">
        <v>193</v>
      </c>
      <c r="M197" s="12">
        <v>42197</v>
      </c>
      <c r="N197" s="15">
        <f t="shared" si="106"/>
        <v>2.9791666666666675E-2</v>
      </c>
      <c r="O197" s="31"/>
      <c r="P197" s="14">
        <v>193</v>
      </c>
      <c r="Q197" s="12">
        <v>41832</v>
      </c>
      <c r="R197" s="15">
        <f t="shared" si="107"/>
        <v>2.7625000000000004E-2</v>
      </c>
      <c r="S197" s="4"/>
      <c r="T197" s="14">
        <v>193</v>
      </c>
      <c r="U197" s="12">
        <v>42197</v>
      </c>
      <c r="V197" s="15">
        <f t="shared" si="108"/>
        <v>2.7625000000000004E-2</v>
      </c>
      <c r="AA197" s="14">
        <v>193</v>
      </c>
      <c r="AB197" s="12">
        <v>41101</v>
      </c>
      <c r="AC197" s="15">
        <f t="shared" si="109"/>
        <v>3.9541666666666669E-2</v>
      </c>
      <c r="AI197" s="60">
        <v>193</v>
      </c>
      <c r="AJ197" s="58">
        <v>41832</v>
      </c>
      <c r="AK197" s="61">
        <f t="shared" si="110"/>
        <v>2.9750000000000002E-2</v>
      </c>
      <c r="AL197" s="58">
        <v>42197</v>
      </c>
      <c r="AM197" s="61">
        <f t="shared" si="111"/>
        <v>2.9750000000000002E-2</v>
      </c>
      <c r="AO197" s="58">
        <v>41832</v>
      </c>
      <c r="AP197" s="61">
        <f t="shared" si="112"/>
        <v>3.4416666666666665E-2</v>
      </c>
      <c r="AQ197" s="58">
        <v>42197</v>
      </c>
      <c r="AR197" s="61">
        <f t="shared" si="113"/>
        <v>2.7416666666666662E-2</v>
      </c>
    </row>
    <row r="198" spans="4:44">
      <c r="D198" s="14">
        <v>194</v>
      </c>
      <c r="E198" s="12">
        <v>41468</v>
      </c>
      <c r="F198" s="15">
        <f t="shared" si="104"/>
        <v>3.7375000000000005E-2</v>
      </c>
      <c r="H198" s="14">
        <v>194</v>
      </c>
      <c r="I198" s="12">
        <v>41833</v>
      </c>
      <c r="J198" s="15">
        <f t="shared" si="105"/>
        <v>3.5208333333333328E-2</v>
      </c>
      <c r="K198" s="4"/>
      <c r="L198" s="14">
        <v>194</v>
      </c>
      <c r="M198" s="12">
        <v>42198</v>
      </c>
      <c r="N198" s="15">
        <f t="shared" si="106"/>
        <v>2.9791666666666675E-2</v>
      </c>
      <c r="O198" s="31"/>
      <c r="P198" s="14">
        <v>194</v>
      </c>
      <c r="Q198" s="12">
        <v>41833</v>
      </c>
      <c r="R198" s="15">
        <f t="shared" si="107"/>
        <v>2.7625000000000004E-2</v>
      </c>
      <c r="S198" s="4"/>
      <c r="T198" s="14">
        <v>194</v>
      </c>
      <c r="U198" s="12">
        <v>42198</v>
      </c>
      <c r="V198" s="15">
        <f t="shared" si="108"/>
        <v>2.7625000000000004E-2</v>
      </c>
      <c r="AA198" s="14">
        <v>194</v>
      </c>
      <c r="AB198" s="12">
        <v>41102</v>
      </c>
      <c r="AC198" s="15">
        <f t="shared" si="109"/>
        <v>3.9541666666666669E-2</v>
      </c>
      <c r="AI198" s="60">
        <v>194</v>
      </c>
      <c r="AJ198" s="58">
        <v>41833</v>
      </c>
      <c r="AK198" s="61">
        <f t="shared" si="110"/>
        <v>2.9750000000000002E-2</v>
      </c>
      <c r="AL198" s="58">
        <v>42198</v>
      </c>
      <c r="AM198" s="61">
        <f t="shared" si="111"/>
        <v>2.9750000000000002E-2</v>
      </c>
      <c r="AO198" s="58">
        <v>41833</v>
      </c>
      <c r="AP198" s="61">
        <f t="shared" si="112"/>
        <v>3.4416666666666665E-2</v>
      </c>
      <c r="AQ198" s="58">
        <v>42198</v>
      </c>
      <c r="AR198" s="61">
        <f t="shared" si="113"/>
        <v>2.7416666666666662E-2</v>
      </c>
    </row>
    <row r="199" spans="4:44">
      <c r="D199" s="14">
        <v>195</v>
      </c>
      <c r="E199" s="12">
        <v>41469</v>
      </c>
      <c r="F199" s="15">
        <f t="shared" si="104"/>
        <v>3.7375000000000005E-2</v>
      </c>
      <c r="H199" s="14">
        <v>195</v>
      </c>
      <c r="I199" s="12">
        <v>41834</v>
      </c>
      <c r="J199" s="15">
        <f t="shared" si="105"/>
        <v>3.5208333333333328E-2</v>
      </c>
      <c r="K199" s="4"/>
      <c r="L199" s="14">
        <v>195</v>
      </c>
      <c r="M199" s="12">
        <v>42199</v>
      </c>
      <c r="N199" s="15">
        <f t="shared" si="106"/>
        <v>2.9791666666666675E-2</v>
      </c>
      <c r="O199" s="31"/>
      <c r="P199" s="14">
        <v>195</v>
      </c>
      <c r="Q199" s="12">
        <v>41834</v>
      </c>
      <c r="R199" s="15">
        <f t="shared" si="107"/>
        <v>2.7625000000000004E-2</v>
      </c>
      <c r="S199" s="4"/>
      <c r="T199" s="14">
        <v>195</v>
      </c>
      <c r="U199" s="12">
        <v>42199</v>
      </c>
      <c r="V199" s="15">
        <f t="shared" si="108"/>
        <v>2.7625000000000004E-2</v>
      </c>
      <c r="AA199" s="14">
        <v>195</v>
      </c>
      <c r="AB199" s="12">
        <v>41103</v>
      </c>
      <c r="AC199" s="15">
        <f t="shared" si="109"/>
        <v>3.9541666666666669E-2</v>
      </c>
      <c r="AI199" s="60">
        <v>195</v>
      </c>
      <c r="AJ199" s="58">
        <v>41834</v>
      </c>
      <c r="AK199" s="61">
        <f t="shared" si="110"/>
        <v>2.9750000000000002E-2</v>
      </c>
      <c r="AL199" s="58">
        <v>42199</v>
      </c>
      <c r="AM199" s="61">
        <f t="shared" si="111"/>
        <v>2.9750000000000002E-2</v>
      </c>
      <c r="AO199" s="58">
        <v>41834</v>
      </c>
      <c r="AP199" s="61">
        <f t="shared" si="112"/>
        <v>3.4416666666666665E-2</v>
      </c>
      <c r="AQ199" s="58">
        <v>42199</v>
      </c>
      <c r="AR199" s="61">
        <f t="shared" si="113"/>
        <v>2.7416666666666662E-2</v>
      </c>
    </row>
    <row r="200" spans="4:44">
      <c r="D200" s="14">
        <v>196</v>
      </c>
      <c r="E200" s="12">
        <v>41470</v>
      </c>
      <c r="F200" s="15">
        <f t="shared" si="104"/>
        <v>3.7375000000000005E-2</v>
      </c>
      <c r="H200" s="14">
        <v>196</v>
      </c>
      <c r="I200" s="12">
        <v>41835</v>
      </c>
      <c r="J200" s="15">
        <f t="shared" si="105"/>
        <v>3.5208333333333328E-2</v>
      </c>
      <c r="K200" s="4"/>
      <c r="L200" s="14">
        <v>196</v>
      </c>
      <c r="M200" s="12">
        <v>42200</v>
      </c>
      <c r="N200" s="15">
        <f t="shared" si="106"/>
        <v>2.9791666666666675E-2</v>
      </c>
      <c r="O200" s="31"/>
      <c r="P200" s="14">
        <v>196</v>
      </c>
      <c r="Q200" s="12">
        <v>41835</v>
      </c>
      <c r="R200" s="15">
        <f t="shared" si="107"/>
        <v>2.7625000000000004E-2</v>
      </c>
      <c r="S200" s="4"/>
      <c r="T200" s="14">
        <v>196</v>
      </c>
      <c r="U200" s="12">
        <v>42200</v>
      </c>
      <c r="V200" s="15">
        <f t="shared" si="108"/>
        <v>2.7625000000000004E-2</v>
      </c>
      <c r="AA200" s="14">
        <v>196</v>
      </c>
      <c r="AB200" s="12">
        <v>41104</v>
      </c>
      <c r="AC200" s="15">
        <f t="shared" si="109"/>
        <v>3.9541666666666669E-2</v>
      </c>
      <c r="AI200" s="60">
        <v>196</v>
      </c>
      <c r="AJ200" s="58">
        <v>41835</v>
      </c>
      <c r="AK200" s="61">
        <f t="shared" si="110"/>
        <v>2.9750000000000002E-2</v>
      </c>
      <c r="AL200" s="58">
        <v>42200</v>
      </c>
      <c r="AM200" s="61">
        <f t="shared" si="111"/>
        <v>2.9750000000000002E-2</v>
      </c>
      <c r="AO200" s="58">
        <v>41835</v>
      </c>
      <c r="AP200" s="61">
        <f t="shared" si="112"/>
        <v>3.4416666666666665E-2</v>
      </c>
      <c r="AQ200" s="58">
        <v>42200</v>
      </c>
      <c r="AR200" s="61">
        <f t="shared" si="113"/>
        <v>2.7416666666666662E-2</v>
      </c>
    </row>
    <row r="201" spans="4:44">
      <c r="D201" s="14">
        <v>197</v>
      </c>
      <c r="E201" s="12">
        <v>41471</v>
      </c>
      <c r="F201" s="15">
        <f t="shared" si="104"/>
        <v>3.7375000000000005E-2</v>
      </c>
      <c r="H201" s="14">
        <v>197</v>
      </c>
      <c r="I201" s="12">
        <v>41836</v>
      </c>
      <c r="J201" s="15">
        <f t="shared" si="105"/>
        <v>3.5208333333333328E-2</v>
      </c>
      <c r="K201" s="4"/>
      <c r="L201" s="14">
        <v>197</v>
      </c>
      <c r="M201" s="12">
        <v>42201</v>
      </c>
      <c r="N201" s="15">
        <f t="shared" si="106"/>
        <v>2.9791666666666675E-2</v>
      </c>
      <c r="O201" s="31"/>
      <c r="P201" s="14">
        <v>197</v>
      </c>
      <c r="Q201" s="12">
        <v>41836</v>
      </c>
      <c r="R201" s="15">
        <f t="shared" si="107"/>
        <v>2.7625000000000004E-2</v>
      </c>
      <c r="S201" s="4"/>
      <c r="T201" s="14">
        <v>197</v>
      </c>
      <c r="U201" s="12">
        <v>42201</v>
      </c>
      <c r="V201" s="15">
        <f t="shared" si="108"/>
        <v>2.7625000000000004E-2</v>
      </c>
      <c r="AA201" s="14">
        <v>197</v>
      </c>
      <c r="AB201" s="12">
        <v>41105</v>
      </c>
      <c r="AC201" s="15">
        <f t="shared" si="109"/>
        <v>3.9541666666666669E-2</v>
      </c>
      <c r="AI201" s="60">
        <v>197</v>
      </c>
      <c r="AJ201" s="58">
        <v>41836</v>
      </c>
      <c r="AK201" s="61">
        <f t="shared" si="110"/>
        <v>2.9750000000000002E-2</v>
      </c>
      <c r="AL201" s="58">
        <v>42201</v>
      </c>
      <c r="AM201" s="61">
        <f t="shared" si="111"/>
        <v>2.9750000000000002E-2</v>
      </c>
      <c r="AO201" s="58">
        <v>41836</v>
      </c>
      <c r="AP201" s="61">
        <f t="shared" si="112"/>
        <v>3.4416666666666665E-2</v>
      </c>
      <c r="AQ201" s="58">
        <v>42201</v>
      </c>
      <c r="AR201" s="61">
        <f t="shared" si="113"/>
        <v>2.7416666666666662E-2</v>
      </c>
    </row>
    <row r="202" spans="4:44">
      <c r="D202" s="14">
        <v>198</v>
      </c>
      <c r="E202" s="12">
        <v>41472</v>
      </c>
      <c r="F202" s="15">
        <f t="shared" si="104"/>
        <v>3.7375000000000005E-2</v>
      </c>
      <c r="H202" s="14">
        <v>198</v>
      </c>
      <c r="I202" s="12">
        <v>41837</v>
      </c>
      <c r="J202" s="15">
        <f t="shared" si="105"/>
        <v>3.5208333333333328E-2</v>
      </c>
      <c r="K202" s="4"/>
      <c r="L202" s="14">
        <v>198</v>
      </c>
      <c r="M202" s="12">
        <v>42202</v>
      </c>
      <c r="N202" s="15">
        <f t="shared" si="106"/>
        <v>2.9791666666666675E-2</v>
      </c>
      <c r="O202" s="31"/>
      <c r="P202" s="14">
        <v>198</v>
      </c>
      <c r="Q202" s="12">
        <v>41837</v>
      </c>
      <c r="R202" s="15">
        <f t="shared" si="107"/>
        <v>2.7625000000000004E-2</v>
      </c>
      <c r="S202" s="4"/>
      <c r="T202" s="14">
        <v>198</v>
      </c>
      <c r="U202" s="12">
        <v>42202</v>
      </c>
      <c r="V202" s="15">
        <f t="shared" si="108"/>
        <v>2.7625000000000004E-2</v>
      </c>
      <c r="AA202" s="14">
        <v>198</v>
      </c>
      <c r="AB202" s="12">
        <v>41106</v>
      </c>
      <c r="AC202" s="15">
        <f t="shared" si="109"/>
        <v>3.9541666666666669E-2</v>
      </c>
      <c r="AI202" s="60">
        <v>198</v>
      </c>
      <c r="AJ202" s="58">
        <v>41837</v>
      </c>
      <c r="AK202" s="61">
        <f t="shared" si="110"/>
        <v>2.9750000000000002E-2</v>
      </c>
      <c r="AL202" s="58">
        <v>42202</v>
      </c>
      <c r="AM202" s="61">
        <f t="shared" si="111"/>
        <v>2.9750000000000002E-2</v>
      </c>
      <c r="AO202" s="58">
        <v>41837</v>
      </c>
      <c r="AP202" s="61">
        <f t="shared" si="112"/>
        <v>3.4416666666666665E-2</v>
      </c>
      <c r="AQ202" s="58">
        <v>42202</v>
      </c>
      <c r="AR202" s="61">
        <f t="shared" si="113"/>
        <v>2.7416666666666662E-2</v>
      </c>
    </row>
    <row r="203" spans="4:44">
      <c r="D203" s="14">
        <v>199</v>
      </c>
      <c r="E203" s="12">
        <v>41473</v>
      </c>
      <c r="F203" s="15">
        <f t="shared" si="104"/>
        <v>3.7375000000000005E-2</v>
      </c>
      <c r="H203" s="14">
        <v>199</v>
      </c>
      <c r="I203" s="12">
        <v>41838</v>
      </c>
      <c r="J203" s="15">
        <f t="shared" si="105"/>
        <v>3.5208333333333328E-2</v>
      </c>
      <c r="K203" s="4"/>
      <c r="L203" s="14">
        <v>199</v>
      </c>
      <c r="M203" s="12">
        <v>42203</v>
      </c>
      <c r="N203" s="15">
        <f t="shared" si="106"/>
        <v>2.9791666666666675E-2</v>
      </c>
      <c r="O203" s="31"/>
      <c r="P203" s="14">
        <v>199</v>
      </c>
      <c r="Q203" s="12">
        <v>41838</v>
      </c>
      <c r="R203" s="15">
        <f t="shared" si="107"/>
        <v>2.7625000000000004E-2</v>
      </c>
      <c r="S203" s="4"/>
      <c r="T203" s="14">
        <v>199</v>
      </c>
      <c r="U203" s="12">
        <v>42203</v>
      </c>
      <c r="V203" s="15">
        <f t="shared" si="108"/>
        <v>2.7625000000000004E-2</v>
      </c>
      <c r="AA203" s="14">
        <v>199</v>
      </c>
      <c r="AB203" s="12">
        <v>41107</v>
      </c>
      <c r="AC203" s="15">
        <f t="shared" si="109"/>
        <v>3.9541666666666669E-2</v>
      </c>
      <c r="AI203" s="60">
        <v>199</v>
      </c>
      <c r="AJ203" s="58">
        <v>41838</v>
      </c>
      <c r="AK203" s="61">
        <f t="shared" si="110"/>
        <v>2.9750000000000002E-2</v>
      </c>
      <c r="AL203" s="58">
        <v>42203</v>
      </c>
      <c r="AM203" s="61">
        <f t="shared" si="111"/>
        <v>2.9750000000000002E-2</v>
      </c>
      <c r="AO203" s="58">
        <v>41838</v>
      </c>
      <c r="AP203" s="61">
        <f t="shared" si="112"/>
        <v>3.4416666666666665E-2</v>
      </c>
      <c r="AQ203" s="58">
        <v>42203</v>
      </c>
      <c r="AR203" s="61">
        <f t="shared" si="113"/>
        <v>2.7416666666666662E-2</v>
      </c>
    </row>
    <row r="204" spans="4:44">
      <c r="D204" s="14">
        <v>200</v>
      </c>
      <c r="E204" s="12">
        <v>41474</v>
      </c>
      <c r="F204" s="15">
        <f t="shared" si="104"/>
        <v>3.7375000000000005E-2</v>
      </c>
      <c r="H204" s="14">
        <v>200</v>
      </c>
      <c r="I204" s="12">
        <v>41839</v>
      </c>
      <c r="J204" s="15">
        <f t="shared" si="105"/>
        <v>3.5208333333333328E-2</v>
      </c>
      <c r="K204" s="4"/>
      <c r="L204" s="14">
        <v>200</v>
      </c>
      <c r="M204" s="12">
        <v>42204</v>
      </c>
      <c r="N204" s="15">
        <f t="shared" si="106"/>
        <v>2.9791666666666675E-2</v>
      </c>
      <c r="O204" s="31"/>
      <c r="P204" s="14">
        <v>200</v>
      </c>
      <c r="Q204" s="12">
        <v>41839</v>
      </c>
      <c r="R204" s="15">
        <f t="shared" si="107"/>
        <v>2.7625000000000004E-2</v>
      </c>
      <c r="S204" s="4"/>
      <c r="T204" s="14">
        <v>200</v>
      </c>
      <c r="U204" s="12">
        <v>42204</v>
      </c>
      <c r="V204" s="15">
        <f t="shared" si="108"/>
        <v>2.7625000000000004E-2</v>
      </c>
      <c r="AA204" s="14">
        <v>200</v>
      </c>
      <c r="AB204" s="12">
        <v>41108</v>
      </c>
      <c r="AC204" s="15">
        <f t="shared" si="109"/>
        <v>3.9541666666666669E-2</v>
      </c>
      <c r="AI204" s="60">
        <v>200</v>
      </c>
      <c r="AJ204" s="58">
        <v>41839</v>
      </c>
      <c r="AK204" s="61">
        <f t="shared" si="110"/>
        <v>2.9750000000000002E-2</v>
      </c>
      <c r="AL204" s="58">
        <v>42204</v>
      </c>
      <c r="AM204" s="61">
        <f t="shared" si="111"/>
        <v>2.9750000000000002E-2</v>
      </c>
      <c r="AO204" s="58">
        <v>41839</v>
      </c>
      <c r="AP204" s="61">
        <f t="shared" si="112"/>
        <v>3.4416666666666665E-2</v>
      </c>
      <c r="AQ204" s="58">
        <v>42204</v>
      </c>
      <c r="AR204" s="61">
        <f t="shared" si="113"/>
        <v>2.7416666666666662E-2</v>
      </c>
    </row>
    <row r="205" spans="4:44">
      <c r="D205" s="14">
        <v>201</v>
      </c>
      <c r="E205" s="12">
        <v>41475</v>
      </c>
      <c r="F205" s="15">
        <f t="shared" si="104"/>
        <v>3.7375000000000005E-2</v>
      </c>
      <c r="H205" s="14">
        <v>201</v>
      </c>
      <c r="I205" s="12">
        <v>41840</v>
      </c>
      <c r="J205" s="15">
        <f t="shared" si="105"/>
        <v>3.5208333333333328E-2</v>
      </c>
      <c r="K205" s="4"/>
      <c r="L205" s="14">
        <v>201</v>
      </c>
      <c r="M205" s="12">
        <v>42205</v>
      </c>
      <c r="N205" s="15">
        <f t="shared" si="106"/>
        <v>2.9791666666666675E-2</v>
      </c>
      <c r="O205" s="31"/>
      <c r="P205" s="14">
        <v>201</v>
      </c>
      <c r="Q205" s="12">
        <v>41840</v>
      </c>
      <c r="R205" s="15">
        <f t="shared" si="107"/>
        <v>2.7625000000000004E-2</v>
      </c>
      <c r="S205" s="4"/>
      <c r="T205" s="14">
        <v>201</v>
      </c>
      <c r="U205" s="12">
        <v>42205</v>
      </c>
      <c r="V205" s="15">
        <f t="shared" si="108"/>
        <v>2.7625000000000004E-2</v>
      </c>
      <c r="AA205" s="14">
        <v>201</v>
      </c>
      <c r="AB205" s="12">
        <v>41109</v>
      </c>
      <c r="AC205" s="15">
        <f t="shared" si="109"/>
        <v>3.9541666666666669E-2</v>
      </c>
      <c r="AI205" s="60">
        <v>201</v>
      </c>
      <c r="AJ205" s="58">
        <v>41840</v>
      </c>
      <c r="AK205" s="61">
        <f t="shared" si="110"/>
        <v>2.9750000000000002E-2</v>
      </c>
      <c r="AL205" s="58">
        <v>42205</v>
      </c>
      <c r="AM205" s="61">
        <f t="shared" si="111"/>
        <v>2.9750000000000002E-2</v>
      </c>
      <c r="AO205" s="58">
        <v>41840</v>
      </c>
      <c r="AP205" s="61">
        <f t="shared" si="112"/>
        <v>3.4416666666666665E-2</v>
      </c>
      <c r="AQ205" s="58">
        <v>42205</v>
      </c>
      <c r="AR205" s="61">
        <f t="shared" si="113"/>
        <v>2.7416666666666662E-2</v>
      </c>
    </row>
    <row r="206" spans="4:44">
      <c r="D206" s="14">
        <v>202</v>
      </c>
      <c r="E206" s="12">
        <v>41476</v>
      </c>
      <c r="F206" s="29">
        <f t="shared" ref="F206:F216" si="114">F$176+F$4/D$4/100</f>
        <v>4.0250000000000001E-2</v>
      </c>
      <c r="H206" s="14">
        <v>202</v>
      </c>
      <c r="I206" s="12">
        <v>41841</v>
      </c>
      <c r="J206" s="29">
        <f t="shared" ref="J206:J216" si="115">J$176+J$4/H$4/100</f>
        <v>3.7916666666666661E-2</v>
      </c>
      <c r="K206" s="4"/>
      <c r="L206" s="14">
        <v>202</v>
      </c>
      <c r="M206" s="12">
        <v>42206</v>
      </c>
      <c r="N206" s="29">
        <f t="shared" ref="N206:N216" si="116">N$176+N$4/L$4/100</f>
        <v>3.2083333333333339E-2</v>
      </c>
      <c r="O206" s="31"/>
      <c r="P206" s="14">
        <v>202</v>
      </c>
      <c r="Q206" s="12">
        <v>41841</v>
      </c>
      <c r="R206" s="29">
        <f t="shared" ref="R206:R216" si="117">R$176+R$4/P$4/100</f>
        <v>2.9750000000000002E-2</v>
      </c>
      <c r="S206" s="4"/>
      <c r="T206" s="14">
        <v>202</v>
      </c>
      <c r="U206" s="12">
        <v>42206</v>
      </c>
      <c r="V206" s="29">
        <f t="shared" ref="V206:V216" si="118">V$176+V$4/T$4/100</f>
        <v>2.9750000000000002E-2</v>
      </c>
      <c r="AA206" s="30">
        <v>202</v>
      </c>
      <c r="AB206" s="12">
        <v>41110</v>
      </c>
      <c r="AC206" s="15">
        <f t="shared" si="109"/>
        <v>3.9541666666666669E-2</v>
      </c>
      <c r="AI206" s="60">
        <v>202</v>
      </c>
      <c r="AJ206" s="58">
        <v>41841</v>
      </c>
      <c r="AK206" s="61">
        <f t="shared" si="110"/>
        <v>2.9750000000000002E-2</v>
      </c>
      <c r="AL206" s="58">
        <v>42206</v>
      </c>
      <c r="AM206" s="61">
        <f t="shared" si="111"/>
        <v>2.9750000000000002E-2</v>
      </c>
      <c r="AO206" s="58">
        <v>41841</v>
      </c>
      <c r="AP206" s="61">
        <f t="shared" si="112"/>
        <v>3.4416666666666665E-2</v>
      </c>
      <c r="AQ206" s="58">
        <v>42206</v>
      </c>
      <c r="AR206" s="61">
        <f t="shared" si="113"/>
        <v>2.7416666666666662E-2</v>
      </c>
    </row>
    <row r="207" spans="4:44">
      <c r="D207" s="14">
        <v>203</v>
      </c>
      <c r="E207" s="12">
        <v>41477</v>
      </c>
      <c r="F207" s="15">
        <f t="shared" si="114"/>
        <v>4.0250000000000001E-2</v>
      </c>
      <c r="H207" s="14">
        <v>203</v>
      </c>
      <c r="I207" s="12">
        <v>41842</v>
      </c>
      <c r="J207" s="15">
        <f t="shared" si="115"/>
        <v>3.7916666666666661E-2</v>
      </c>
      <c r="K207" s="4"/>
      <c r="L207" s="14">
        <v>203</v>
      </c>
      <c r="M207" s="12">
        <v>42207</v>
      </c>
      <c r="N207" s="15">
        <f t="shared" si="116"/>
        <v>3.2083333333333339E-2</v>
      </c>
      <c r="O207" s="31"/>
      <c r="P207" s="14">
        <v>203</v>
      </c>
      <c r="Q207" s="12">
        <v>41842</v>
      </c>
      <c r="R207" s="15">
        <f t="shared" si="117"/>
        <v>2.9750000000000002E-2</v>
      </c>
      <c r="S207" s="4"/>
      <c r="T207" s="14">
        <v>203</v>
      </c>
      <c r="U207" s="12">
        <v>42207</v>
      </c>
      <c r="V207" s="15">
        <f t="shared" si="118"/>
        <v>2.9750000000000002E-2</v>
      </c>
      <c r="AA207" s="30">
        <v>203</v>
      </c>
      <c r="AB207" s="28">
        <v>41111</v>
      </c>
      <c r="AC207" s="29">
        <f t="shared" ref="AC207:AC217" si="119">AC$177+AC$4/AA$4/100</f>
        <v>4.2583333333333334E-2</v>
      </c>
      <c r="AI207" s="60">
        <v>203</v>
      </c>
      <c r="AJ207" s="58">
        <v>41842</v>
      </c>
      <c r="AK207" s="61">
        <f t="shared" si="110"/>
        <v>2.9750000000000002E-2</v>
      </c>
      <c r="AL207" s="58">
        <v>42207</v>
      </c>
      <c r="AM207" s="61">
        <f t="shared" si="111"/>
        <v>2.9750000000000002E-2</v>
      </c>
      <c r="AO207" s="58">
        <v>41842</v>
      </c>
      <c r="AP207" s="61">
        <f t="shared" si="112"/>
        <v>3.4416666666666665E-2</v>
      </c>
      <c r="AQ207" s="58">
        <v>42207</v>
      </c>
      <c r="AR207" s="61">
        <f t="shared" si="113"/>
        <v>2.7416666666666662E-2</v>
      </c>
    </row>
    <row r="208" spans="4:44">
      <c r="D208" s="14">
        <v>204</v>
      </c>
      <c r="E208" s="12">
        <v>41478</v>
      </c>
      <c r="F208" s="15">
        <f t="shared" si="114"/>
        <v>4.0250000000000001E-2</v>
      </c>
      <c r="H208" s="14">
        <v>204</v>
      </c>
      <c r="I208" s="12">
        <v>41843</v>
      </c>
      <c r="J208" s="15">
        <f t="shared" si="115"/>
        <v>3.7916666666666661E-2</v>
      </c>
      <c r="K208" s="4"/>
      <c r="L208" s="14">
        <v>204</v>
      </c>
      <c r="M208" s="12">
        <v>42208</v>
      </c>
      <c r="N208" s="15">
        <f t="shared" si="116"/>
        <v>3.2083333333333339E-2</v>
      </c>
      <c r="O208" s="31"/>
      <c r="P208" s="14">
        <v>204</v>
      </c>
      <c r="Q208" s="12">
        <v>41843</v>
      </c>
      <c r="R208" s="15">
        <f t="shared" si="117"/>
        <v>2.9750000000000002E-2</v>
      </c>
      <c r="S208" s="4"/>
      <c r="T208" s="14">
        <v>204</v>
      </c>
      <c r="U208" s="12">
        <v>42208</v>
      </c>
      <c r="V208" s="15">
        <f t="shared" si="118"/>
        <v>2.9750000000000002E-2</v>
      </c>
      <c r="AA208" s="14">
        <v>204</v>
      </c>
      <c r="AB208" s="12">
        <v>41112</v>
      </c>
      <c r="AC208" s="15">
        <f t="shared" si="119"/>
        <v>4.2583333333333334E-2</v>
      </c>
      <c r="AI208" s="60">
        <v>204</v>
      </c>
      <c r="AJ208" s="58">
        <v>41843</v>
      </c>
      <c r="AK208" s="61">
        <f t="shared" si="110"/>
        <v>2.9750000000000002E-2</v>
      </c>
      <c r="AL208" s="58">
        <v>42208</v>
      </c>
      <c r="AM208" s="61">
        <f t="shared" si="111"/>
        <v>2.9750000000000002E-2</v>
      </c>
      <c r="AO208" s="58">
        <v>41843</v>
      </c>
      <c r="AP208" s="61">
        <f t="shared" si="112"/>
        <v>3.4416666666666665E-2</v>
      </c>
      <c r="AQ208" s="58">
        <v>42208</v>
      </c>
      <c r="AR208" s="61">
        <f t="shared" si="113"/>
        <v>2.7416666666666662E-2</v>
      </c>
    </row>
    <row r="209" spans="4:44">
      <c r="D209" s="14">
        <v>205</v>
      </c>
      <c r="E209" s="12">
        <v>41479</v>
      </c>
      <c r="F209" s="15">
        <f t="shared" si="114"/>
        <v>4.0250000000000001E-2</v>
      </c>
      <c r="H209" s="14">
        <v>205</v>
      </c>
      <c r="I209" s="12">
        <v>41844</v>
      </c>
      <c r="J209" s="15">
        <f t="shared" si="115"/>
        <v>3.7916666666666661E-2</v>
      </c>
      <c r="K209" s="4"/>
      <c r="L209" s="14">
        <v>205</v>
      </c>
      <c r="M209" s="12">
        <v>42209</v>
      </c>
      <c r="N209" s="15">
        <f t="shared" si="116"/>
        <v>3.2083333333333339E-2</v>
      </c>
      <c r="O209" s="31"/>
      <c r="P209" s="14">
        <v>205</v>
      </c>
      <c r="Q209" s="12">
        <v>41844</v>
      </c>
      <c r="R209" s="15">
        <f t="shared" si="117"/>
        <v>2.9750000000000002E-2</v>
      </c>
      <c r="S209" s="4"/>
      <c r="T209" s="14">
        <v>205</v>
      </c>
      <c r="U209" s="12">
        <v>42209</v>
      </c>
      <c r="V209" s="15">
        <f t="shared" si="118"/>
        <v>2.9750000000000002E-2</v>
      </c>
      <c r="AA209" s="14">
        <v>205</v>
      </c>
      <c r="AB209" s="12">
        <v>41113</v>
      </c>
      <c r="AC209" s="15">
        <f t="shared" si="119"/>
        <v>4.2583333333333334E-2</v>
      </c>
      <c r="AI209" s="60">
        <v>205</v>
      </c>
      <c r="AJ209" s="58">
        <v>41844</v>
      </c>
      <c r="AK209" s="61">
        <f t="shared" si="110"/>
        <v>2.9750000000000002E-2</v>
      </c>
      <c r="AL209" s="58">
        <v>42209</v>
      </c>
      <c r="AM209" s="61">
        <f t="shared" si="111"/>
        <v>2.9750000000000002E-2</v>
      </c>
      <c r="AO209" s="58">
        <v>41844</v>
      </c>
      <c r="AP209" s="61">
        <f t="shared" si="112"/>
        <v>3.4416666666666665E-2</v>
      </c>
      <c r="AQ209" s="58">
        <v>42209</v>
      </c>
      <c r="AR209" s="61">
        <f t="shared" si="113"/>
        <v>2.7416666666666662E-2</v>
      </c>
    </row>
    <row r="210" spans="4:44">
      <c r="D210" s="14">
        <v>206</v>
      </c>
      <c r="E210" s="12">
        <v>41480</v>
      </c>
      <c r="F210" s="15">
        <f t="shared" si="114"/>
        <v>4.0250000000000001E-2</v>
      </c>
      <c r="H210" s="14">
        <v>206</v>
      </c>
      <c r="I210" s="12">
        <v>41845</v>
      </c>
      <c r="J210" s="15">
        <f t="shared" si="115"/>
        <v>3.7916666666666661E-2</v>
      </c>
      <c r="K210" s="4"/>
      <c r="L210" s="14">
        <v>206</v>
      </c>
      <c r="M210" s="12">
        <v>42210</v>
      </c>
      <c r="N210" s="15">
        <f t="shared" si="116"/>
        <v>3.2083333333333339E-2</v>
      </c>
      <c r="O210" s="31"/>
      <c r="P210" s="14">
        <v>206</v>
      </c>
      <c r="Q210" s="12">
        <v>41845</v>
      </c>
      <c r="R210" s="15">
        <f t="shared" si="117"/>
        <v>2.9750000000000002E-2</v>
      </c>
      <c r="S210" s="4"/>
      <c r="T210" s="14">
        <v>206</v>
      </c>
      <c r="U210" s="12">
        <v>42210</v>
      </c>
      <c r="V210" s="15">
        <f t="shared" si="118"/>
        <v>2.9750000000000002E-2</v>
      </c>
      <c r="AA210" s="14">
        <v>206</v>
      </c>
      <c r="AB210" s="12">
        <v>41114</v>
      </c>
      <c r="AC210" s="15">
        <f t="shared" si="119"/>
        <v>4.2583333333333334E-2</v>
      </c>
      <c r="AI210" s="60">
        <v>206</v>
      </c>
      <c r="AJ210" s="58">
        <v>41845</v>
      </c>
      <c r="AK210" s="61">
        <f t="shared" si="110"/>
        <v>2.9750000000000002E-2</v>
      </c>
      <c r="AL210" s="58">
        <v>42210</v>
      </c>
      <c r="AM210" s="61">
        <f t="shared" si="111"/>
        <v>2.9750000000000002E-2</v>
      </c>
      <c r="AO210" s="58">
        <v>41845</v>
      </c>
      <c r="AP210" s="61">
        <f t="shared" si="112"/>
        <v>3.4416666666666665E-2</v>
      </c>
      <c r="AQ210" s="58">
        <v>42210</v>
      </c>
      <c r="AR210" s="61">
        <f t="shared" si="113"/>
        <v>2.7416666666666662E-2</v>
      </c>
    </row>
    <row r="211" spans="4:44">
      <c r="D211" s="14">
        <v>207</v>
      </c>
      <c r="E211" s="12">
        <v>41481</v>
      </c>
      <c r="F211" s="15">
        <f t="shared" si="114"/>
        <v>4.0250000000000001E-2</v>
      </c>
      <c r="H211" s="14">
        <v>207</v>
      </c>
      <c r="I211" s="12">
        <v>41846</v>
      </c>
      <c r="J211" s="15">
        <f t="shared" si="115"/>
        <v>3.7916666666666661E-2</v>
      </c>
      <c r="K211" s="4"/>
      <c r="L211" s="14">
        <v>207</v>
      </c>
      <c r="M211" s="12">
        <v>42211</v>
      </c>
      <c r="N211" s="15">
        <f t="shared" si="116"/>
        <v>3.2083333333333339E-2</v>
      </c>
      <c r="O211" s="31"/>
      <c r="P211" s="14">
        <v>207</v>
      </c>
      <c r="Q211" s="12">
        <v>41846</v>
      </c>
      <c r="R211" s="15">
        <f t="shared" si="117"/>
        <v>2.9750000000000002E-2</v>
      </c>
      <c r="S211" s="4"/>
      <c r="T211" s="14">
        <v>207</v>
      </c>
      <c r="U211" s="12">
        <v>42211</v>
      </c>
      <c r="V211" s="15">
        <f t="shared" si="118"/>
        <v>2.9750000000000002E-2</v>
      </c>
      <c r="AA211" s="14">
        <v>207</v>
      </c>
      <c r="AB211" s="12">
        <v>41115</v>
      </c>
      <c r="AC211" s="15">
        <f t="shared" si="119"/>
        <v>4.2583333333333334E-2</v>
      </c>
      <c r="AI211" s="60">
        <v>207</v>
      </c>
      <c r="AJ211" s="58">
        <v>41846</v>
      </c>
      <c r="AK211" s="61">
        <f t="shared" si="110"/>
        <v>2.9750000000000002E-2</v>
      </c>
      <c r="AL211" s="58">
        <v>42211</v>
      </c>
      <c r="AM211" s="61">
        <f t="shared" si="111"/>
        <v>2.9750000000000002E-2</v>
      </c>
      <c r="AO211" s="58">
        <v>41846</v>
      </c>
      <c r="AP211" s="61">
        <f t="shared" si="112"/>
        <v>3.4416666666666665E-2</v>
      </c>
      <c r="AQ211" s="58">
        <v>42211</v>
      </c>
      <c r="AR211" s="61">
        <f t="shared" si="113"/>
        <v>2.7416666666666662E-2</v>
      </c>
    </row>
    <row r="212" spans="4:44">
      <c r="D212" s="14">
        <v>208</v>
      </c>
      <c r="E212" s="12">
        <v>41482</v>
      </c>
      <c r="F212" s="15">
        <f t="shared" si="114"/>
        <v>4.0250000000000001E-2</v>
      </c>
      <c r="H212" s="14">
        <v>208</v>
      </c>
      <c r="I212" s="12">
        <v>41847</v>
      </c>
      <c r="J212" s="15">
        <f t="shared" si="115"/>
        <v>3.7916666666666661E-2</v>
      </c>
      <c r="K212" s="4"/>
      <c r="L212" s="14">
        <v>208</v>
      </c>
      <c r="M212" s="12">
        <v>42212</v>
      </c>
      <c r="N212" s="15">
        <f t="shared" si="116"/>
        <v>3.2083333333333339E-2</v>
      </c>
      <c r="O212" s="31"/>
      <c r="P212" s="14">
        <v>208</v>
      </c>
      <c r="Q212" s="12">
        <v>41847</v>
      </c>
      <c r="R212" s="15">
        <f t="shared" si="117"/>
        <v>2.9750000000000002E-2</v>
      </c>
      <c r="S212" s="4"/>
      <c r="T212" s="14">
        <v>208</v>
      </c>
      <c r="U212" s="12">
        <v>42212</v>
      </c>
      <c r="V212" s="15">
        <f t="shared" si="118"/>
        <v>2.9750000000000002E-2</v>
      </c>
      <c r="AA212" s="14">
        <v>208</v>
      </c>
      <c r="AB212" s="12">
        <v>41116</v>
      </c>
      <c r="AC212" s="15">
        <f t="shared" si="119"/>
        <v>4.2583333333333334E-2</v>
      </c>
      <c r="AI212" s="60">
        <v>208</v>
      </c>
      <c r="AJ212" s="58">
        <v>41847</v>
      </c>
      <c r="AK212" s="61">
        <f t="shared" si="110"/>
        <v>2.9750000000000002E-2</v>
      </c>
      <c r="AL212" s="58">
        <v>42212</v>
      </c>
      <c r="AM212" s="61">
        <f t="shared" si="111"/>
        <v>2.9750000000000002E-2</v>
      </c>
      <c r="AO212" s="58">
        <v>41847</v>
      </c>
      <c r="AP212" s="61">
        <f t="shared" si="112"/>
        <v>3.4416666666666665E-2</v>
      </c>
      <c r="AQ212" s="58">
        <v>42212</v>
      </c>
      <c r="AR212" s="61">
        <f t="shared" si="113"/>
        <v>2.7416666666666662E-2</v>
      </c>
    </row>
    <row r="213" spans="4:44">
      <c r="D213" s="14">
        <v>209</v>
      </c>
      <c r="E213" s="12">
        <v>41483</v>
      </c>
      <c r="F213" s="15">
        <f t="shared" si="114"/>
        <v>4.0250000000000001E-2</v>
      </c>
      <c r="H213" s="14">
        <v>209</v>
      </c>
      <c r="I213" s="12">
        <v>41848</v>
      </c>
      <c r="J213" s="15">
        <f t="shared" si="115"/>
        <v>3.7916666666666661E-2</v>
      </c>
      <c r="K213" s="4"/>
      <c r="L213" s="14">
        <v>209</v>
      </c>
      <c r="M213" s="12">
        <v>42213</v>
      </c>
      <c r="N213" s="15">
        <f t="shared" si="116"/>
        <v>3.2083333333333339E-2</v>
      </c>
      <c r="O213" s="31"/>
      <c r="P213" s="14">
        <v>209</v>
      </c>
      <c r="Q213" s="12">
        <v>41848</v>
      </c>
      <c r="R213" s="15">
        <f t="shared" si="117"/>
        <v>2.9750000000000002E-2</v>
      </c>
      <c r="S213" s="4"/>
      <c r="T213" s="14">
        <v>209</v>
      </c>
      <c r="U213" s="12">
        <v>42213</v>
      </c>
      <c r="V213" s="15">
        <f t="shared" si="118"/>
        <v>2.9750000000000002E-2</v>
      </c>
      <c r="AA213" s="14">
        <v>209</v>
      </c>
      <c r="AB213" s="12">
        <v>41117</v>
      </c>
      <c r="AC213" s="15">
        <f t="shared" si="119"/>
        <v>4.2583333333333334E-2</v>
      </c>
      <c r="AI213" s="60">
        <v>209</v>
      </c>
      <c r="AJ213" s="58">
        <v>41848</v>
      </c>
      <c r="AK213" s="61">
        <f t="shared" si="110"/>
        <v>2.9750000000000002E-2</v>
      </c>
      <c r="AL213" s="58">
        <v>42213</v>
      </c>
      <c r="AM213" s="61">
        <f t="shared" si="111"/>
        <v>2.9750000000000002E-2</v>
      </c>
      <c r="AO213" s="58">
        <v>41848</v>
      </c>
      <c r="AP213" s="61">
        <f t="shared" si="112"/>
        <v>3.4416666666666665E-2</v>
      </c>
      <c r="AQ213" s="58">
        <v>42213</v>
      </c>
      <c r="AR213" s="61">
        <f t="shared" si="113"/>
        <v>2.7416666666666662E-2</v>
      </c>
    </row>
    <row r="214" spans="4:44">
      <c r="D214" s="14">
        <v>210</v>
      </c>
      <c r="E214" s="12">
        <v>41484</v>
      </c>
      <c r="F214" s="15">
        <f t="shared" si="114"/>
        <v>4.0250000000000001E-2</v>
      </c>
      <c r="H214" s="14">
        <v>210</v>
      </c>
      <c r="I214" s="12">
        <v>41849</v>
      </c>
      <c r="J214" s="15">
        <f t="shared" si="115"/>
        <v>3.7916666666666661E-2</v>
      </c>
      <c r="K214" s="4"/>
      <c r="L214" s="14">
        <v>210</v>
      </c>
      <c r="M214" s="12">
        <v>42214</v>
      </c>
      <c r="N214" s="15">
        <f t="shared" si="116"/>
        <v>3.2083333333333339E-2</v>
      </c>
      <c r="O214" s="31"/>
      <c r="P214" s="14">
        <v>210</v>
      </c>
      <c r="Q214" s="12">
        <v>41849</v>
      </c>
      <c r="R214" s="15">
        <f t="shared" si="117"/>
        <v>2.9750000000000002E-2</v>
      </c>
      <c r="S214" s="4"/>
      <c r="T214" s="14">
        <v>210</v>
      </c>
      <c r="U214" s="12">
        <v>42214</v>
      </c>
      <c r="V214" s="15">
        <f t="shared" si="118"/>
        <v>2.9750000000000002E-2</v>
      </c>
      <c r="AA214" s="14">
        <v>210</v>
      </c>
      <c r="AB214" s="12">
        <v>41118</v>
      </c>
      <c r="AC214" s="15">
        <f t="shared" si="119"/>
        <v>4.2583333333333334E-2</v>
      </c>
      <c r="AI214" s="60">
        <v>210</v>
      </c>
      <c r="AJ214" s="58">
        <v>41849</v>
      </c>
      <c r="AK214" s="61">
        <f t="shared" si="110"/>
        <v>2.9750000000000002E-2</v>
      </c>
      <c r="AL214" s="58">
        <v>42214</v>
      </c>
      <c r="AM214" s="61">
        <f t="shared" si="111"/>
        <v>2.9750000000000002E-2</v>
      </c>
      <c r="AO214" s="58">
        <v>41849</v>
      </c>
      <c r="AP214" s="61">
        <f t="shared" si="112"/>
        <v>3.4416666666666665E-2</v>
      </c>
      <c r="AQ214" s="58">
        <v>42214</v>
      </c>
      <c r="AR214" s="61">
        <f t="shared" si="113"/>
        <v>2.7416666666666662E-2</v>
      </c>
    </row>
    <row r="215" spans="4:44">
      <c r="D215" s="14">
        <v>211</v>
      </c>
      <c r="E215" s="12">
        <v>41485</v>
      </c>
      <c r="F215" s="15">
        <f t="shared" si="114"/>
        <v>4.0250000000000001E-2</v>
      </c>
      <c r="H215" s="14">
        <v>211</v>
      </c>
      <c r="I215" s="12">
        <v>41850</v>
      </c>
      <c r="J215" s="15">
        <f t="shared" si="115"/>
        <v>3.7916666666666661E-2</v>
      </c>
      <c r="K215" s="4"/>
      <c r="L215" s="14">
        <v>211</v>
      </c>
      <c r="M215" s="12">
        <v>42215</v>
      </c>
      <c r="N215" s="15">
        <f t="shared" si="116"/>
        <v>3.2083333333333339E-2</v>
      </c>
      <c r="O215" s="31"/>
      <c r="P215" s="14">
        <v>211</v>
      </c>
      <c r="Q215" s="12">
        <v>41850</v>
      </c>
      <c r="R215" s="15">
        <f t="shared" si="117"/>
        <v>2.9750000000000002E-2</v>
      </c>
      <c r="S215" s="4"/>
      <c r="T215" s="14">
        <v>211</v>
      </c>
      <c r="U215" s="12">
        <v>42215</v>
      </c>
      <c r="V215" s="15">
        <f t="shared" si="118"/>
        <v>2.9750000000000002E-2</v>
      </c>
      <c r="AA215" s="14">
        <v>211</v>
      </c>
      <c r="AB215" s="12">
        <v>41119</v>
      </c>
      <c r="AC215" s="15">
        <f t="shared" si="119"/>
        <v>4.2583333333333334E-2</v>
      </c>
      <c r="AI215" s="60">
        <v>211</v>
      </c>
      <c r="AJ215" s="58">
        <v>41850</v>
      </c>
      <c r="AK215" s="61">
        <f t="shared" si="110"/>
        <v>2.9750000000000002E-2</v>
      </c>
      <c r="AL215" s="58">
        <v>42215</v>
      </c>
      <c r="AM215" s="61">
        <f t="shared" si="111"/>
        <v>2.9750000000000002E-2</v>
      </c>
      <c r="AO215" s="58">
        <v>41850</v>
      </c>
      <c r="AP215" s="61">
        <f t="shared" si="112"/>
        <v>3.4416666666666665E-2</v>
      </c>
      <c r="AQ215" s="58">
        <v>42215</v>
      </c>
      <c r="AR215" s="61">
        <f t="shared" si="113"/>
        <v>2.7416666666666662E-2</v>
      </c>
    </row>
    <row r="216" spans="4:44">
      <c r="D216" s="14">
        <v>212</v>
      </c>
      <c r="E216" s="12">
        <v>41486</v>
      </c>
      <c r="F216" s="15">
        <f t="shared" si="114"/>
        <v>4.0250000000000001E-2</v>
      </c>
      <c r="H216" s="14">
        <v>212</v>
      </c>
      <c r="I216" s="12">
        <v>41851</v>
      </c>
      <c r="J216" s="15">
        <f t="shared" si="115"/>
        <v>3.7916666666666661E-2</v>
      </c>
      <c r="K216" s="4"/>
      <c r="L216" s="14">
        <v>212</v>
      </c>
      <c r="M216" s="12">
        <v>42216</v>
      </c>
      <c r="N216" s="15">
        <f t="shared" si="116"/>
        <v>3.2083333333333339E-2</v>
      </c>
      <c r="O216" s="31"/>
      <c r="P216" s="14">
        <v>212</v>
      </c>
      <c r="Q216" s="12">
        <v>41851</v>
      </c>
      <c r="R216" s="15">
        <f t="shared" si="117"/>
        <v>2.9750000000000002E-2</v>
      </c>
      <c r="S216" s="4"/>
      <c r="T216" s="14">
        <v>212</v>
      </c>
      <c r="U216" s="12">
        <v>42216</v>
      </c>
      <c r="V216" s="15">
        <f t="shared" si="118"/>
        <v>2.9750000000000002E-2</v>
      </c>
      <c r="AA216" s="14">
        <v>212</v>
      </c>
      <c r="AB216" s="12">
        <v>41120</v>
      </c>
      <c r="AC216" s="15">
        <f t="shared" si="119"/>
        <v>4.2583333333333334E-2</v>
      </c>
      <c r="AI216" s="60">
        <v>212</v>
      </c>
      <c r="AJ216" s="58">
        <v>41851</v>
      </c>
      <c r="AK216" s="61">
        <f t="shared" si="110"/>
        <v>2.9750000000000002E-2</v>
      </c>
      <c r="AL216" s="58">
        <v>42216</v>
      </c>
      <c r="AM216" s="61">
        <f t="shared" si="111"/>
        <v>2.9750000000000002E-2</v>
      </c>
      <c r="AO216" s="58">
        <v>41851</v>
      </c>
      <c r="AP216" s="61">
        <f t="shared" si="112"/>
        <v>3.4416666666666665E-2</v>
      </c>
      <c r="AQ216" s="58">
        <v>42216</v>
      </c>
      <c r="AR216" s="61">
        <f t="shared" si="113"/>
        <v>2.7416666666666662E-2</v>
      </c>
    </row>
    <row r="217" spans="4:44">
      <c r="D217" s="14">
        <v>213</v>
      </c>
      <c r="E217" s="12">
        <v>41487</v>
      </c>
      <c r="F217" s="29">
        <f t="shared" ref="F217:F236" si="120">F$186+F$4/D$4/100</f>
        <v>4.3125000000000004E-2</v>
      </c>
      <c r="H217" s="14">
        <v>213</v>
      </c>
      <c r="I217" s="12">
        <v>41852</v>
      </c>
      <c r="J217" s="29">
        <f t="shared" ref="J217:J236" si="121">J$186+J$4/H$4/100</f>
        <v>4.0624999999999994E-2</v>
      </c>
      <c r="K217" s="4"/>
      <c r="L217" s="14">
        <v>213</v>
      </c>
      <c r="M217" s="12">
        <v>42217</v>
      </c>
      <c r="N217" s="29">
        <f t="shared" ref="N217:N236" si="122">N$186+N$4/L$4/100</f>
        <v>3.437500000000001E-2</v>
      </c>
      <c r="O217" s="31"/>
      <c r="P217" s="14">
        <v>213</v>
      </c>
      <c r="Q217" s="12">
        <v>41852</v>
      </c>
      <c r="R217" s="29">
        <f t="shared" ref="R217:R236" si="123">R$186+R$4/P$4/100</f>
        <v>3.1875000000000001E-2</v>
      </c>
      <c r="S217" s="4"/>
      <c r="T217" s="14">
        <v>213</v>
      </c>
      <c r="U217" s="12">
        <v>42217</v>
      </c>
      <c r="V217" s="29">
        <f t="shared" ref="V217:V236" si="124">V$186+V$4/T$4/100</f>
        <v>3.1875000000000001E-2</v>
      </c>
      <c r="AA217" s="30">
        <v>213</v>
      </c>
      <c r="AB217" s="12">
        <v>41121</v>
      </c>
      <c r="AC217" s="15">
        <f t="shared" si="119"/>
        <v>4.2583333333333334E-2</v>
      </c>
      <c r="AI217" s="60">
        <v>213</v>
      </c>
      <c r="AJ217" s="63">
        <v>41852</v>
      </c>
      <c r="AK217" s="61">
        <f t="shared" si="110"/>
        <v>2.9750000000000002E-2</v>
      </c>
      <c r="AL217" s="58">
        <v>42217</v>
      </c>
      <c r="AM217" s="61">
        <f t="shared" si="111"/>
        <v>2.9750000000000002E-2</v>
      </c>
      <c r="AO217" s="63">
        <v>41852</v>
      </c>
      <c r="AP217" s="61">
        <f t="shared" si="112"/>
        <v>3.4416666666666665E-2</v>
      </c>
      <c r="AQ217" s="58">
        <v>42217</v>
      </c>
      <c r="AR217" s="61">
        <f t="shared" si="113"/>
        <v>2.7416666666666662E-2</v>
      </c>
    </row>
    <row r="218" spans="4:44">
      <c r="D218" s="14">
        <v>214</v>
      </c>
      <c r="E218" s="12">
        <v>41488</v>
      </c>
      <c r="F218" s="15">
        <f t="shared" si="120"/>
        <v>4.3125000000000004E-2</v>
      </c>
      <c r="H218" s="14">
        <v>214</v>
      </c>
      <c r="I218" s="12">
        <v>41853</v>
      </c>
      <c r="J218" s="15">
        <f t="shared" si="121"/>
        <v>4.0624999999999994E-2</v>
      </c>
      <c r="K218" s="4"/>
      <c r="L218" s="14">
        <v>214</v>
      </c>
      <c r="M218" s="12">
        <v>42218</v>
      </c>
      <c r="N218" s="15">
        <f t="shared" si="122"/>
        <v>3.437500000000001E-2</v>
      </c>
      <c r="O218" s="31"/>
      <c r="P218" s="14">
        <v>214</v>
      </c>
      <c r="Q218" s="12">
        <v>41853</v>
      </c>
      <c r="R218" s="15">
        <f t="shared" si="123"/>
        <v>3.1875000000000001E-2</v>
      </c>
      <c r="S218" s="4"/>
      <c r="T218" s="14">
        <v>214</v>
      </c>
      <c r="U218" s="12">
        <v>42218</v>
      </c>
      <c r="V218" s="15">
        <f t="shared" si="124"/>
        <v>3.1875000000000001E-2</v>
      </c>
      <c r="AA218" s="30">
        <v>214</v>
      </c>
      <c r="AB218" s="28">
        <v>41122</v>
      </c>
      <c r="AC218" s="29">
        <f t="shared" ref="AC218:AC237" si="125">AC$187+AC$4/AA$4/100</f>
        <v>4.5624999999999999E-2</v>
      </c>
      <c r="AI218" s="60">
        <v>214</v>
      </c>
      <c r="AJ218" s="58">
        <v>41853</v>
      </c>
      <c r="AK218" s="61">
        <f t="shared" si="110"/>
        <v>2.9750000000000002E-2</v>
      </c>
      <c r="AL218" s="58">
        <v>42218</v>
      </c>
      <c r="AM218" s="61">
        <f t="shared" si="111"/>
        <v>2.9750000000000002E-2</v>
      </c>
      <c r="AO218" s="58">
        <v>41853</v>
      </c>
      <c r="AP218" s="61">
        <f t="shared" si="112"/>
        <v>3.4416666666666665E-2</v>
      </c>
      <c r="AQ218" s="58">
        <v>42218</v>
      </c>
      <c r="AR218" s="61">
        <f t="shared" si="113"/>
        <v>2.7416666666666662E-2</v>
      </c>
    </row>
    <row r="219" spans="4:44">
      <c r="D219" s="14">
        <v>215</v>
      </c>
      <c r="E219" s="12">
        <v>41489</v>
      </c>
      <c r="F219" s="15">
        <f t="shared" si="120"/>
        <v>4.3125000000000004E-2</v>
      </c>
      <c r="H219" s="14">
        <v>215</v>
      </c>
      <c r="I219" s="12">
        <v>41854</v>
      </c>
      <c r="J219" s="15">
        <f t="shared" si="121"/>
        <v>4.0624999999999994E-2</v>
      </c>
      <c r="K219" s="4"/>
      <c r="L219" s="14">
        <v>215</v>
      </c>
      <c r="M219" s="12">
        <v>42219</v>
      </c>
      <c r="N219" s="15">
        <f t="shared" si="122"/>
        <v>3.437500000000001E-2</v>
      </c>
      <c r="O219" s="31"/>
      <c r="P219" s="14">
        <v>215</v>
      </c>
      <c r="Q219" s="12">
        <v>41854</v>
      </c>
      <c r="R219" s="15">
        <f t="shared" si="123"/>
        <v>3.1875000000000001E-2</v>
      </c>
      <c r="S219" s="4"/>
      <c r="T219" s="14">
        <v>215</v>
      </c>
      <c r="U219" s="12">
        <v>42219</v>
      </c>
      <c r="V219" s="15">
        <f t="shared" si="124"/>
        <v>3.1875000000000001E-2</v>
      </c>
      <c r="AA219" s="14">
        <v>215</v>
      </c>
      <c r="AB219" s="12">
        <v>41123</v>
      </c>
      <c r="AC219" s="15">
        <f t="shared" si="125"/>
        <v>4.5624999999999999E-2</v>
      </c>
      <c r="AI219" s="60">
        <v>215</v>
      </c>
      <c r="AJ219" s="58">
        <v>41854</v>
      </c>
      <c r="AK219" s="61">
        <f t="shared" si="110"/>
        <v>2.9750000000000002E-2</v>
      </c>
      <c r="AL219" s="58">
        <v>42219</v>
      </c>
      <c r="AM219" s="61">
        <f t="shared" si="111"/>
        <v>2.9750000000000002E-2</v>
      </c>
      <c r="AO219" s="58">
        <v>41854</v>
      </c>
      <c r="AP219" s="61">
        <f t="shared" si="112"/>
        <v>3.4416666666666665E-2</v>
      </c>
      <c r="AQ219" s="58">
        <v>42219</v>
      </c>
      <c r="AR219" s="61">
        <f t="shared" si="113"/>
        <v>2.7416666666666662E-2</v>
      </c>
    </row>
    <row r="220" spans="4:44">
      <c r="D220" s="14">
        <v>216</v>
      </c>
      <c r="E220" s="12">
        <v>41490</v>
      </c>
      <c r="F220" s="15">
        <f t="shared" si="120"/>
        <v>4.3125000000000004E-2</v>
      </c>
      <c r="H220" s="14">
        <v>216</v>
      </c>
      <c r="I220" s="12">
        <v>41855</v>
      </c>
      <c r="J220" s="15">
        <f t="shared" si="121"/>
        <v>4.0624999999999994E-2</v>
      </c>
      <c r="K220" s="4"/>
      <c r="L220" s="14">
        <v>216</v>
      </c>
      <c r="M220" s="12">
        <v>42220</v>
      </c>
      <c r="N220" s="15">
        <f t="shared" si="122"/>
        <v>3.437500000000001E-2</v>
      </c>
      <c r="O220" s="31"/>
      <c r="P220" s="14">
        <v>216</v>
      </c>
      <c r="Q220" s="12">
        <v>41855</v>
      </c>
      <c r="R220" s="15">
        <f t="shared" si="123"/>
        <v>3.1875000000000001E-2</v>
      </c>
      <c r="S220" s="4"/>
      <c r="T220" s="14">
        <v>216</v>
      </c>
      <c r="U220" s="12">
        <v>42220</v>
      </c>
      <c r="V220" s="15">
        <f t="shared" si="124"/>
        <v>3.1875000000000001E-2</v>
      </c>
      <c r="AA220" s="14">
        <v>216</v>
      </c>
      <c r="AB220" s="12">
        <v>41124</v>
      </c>
      <c r="AC220" s="15">
        <f t="shared" si="125"/>
        <v>4.5624999999999999E-2</v>
      </c>
      <c r="AI220" s="60">
        <v>216</v>
      </c>
      <c r="AJ220" s="58">
        <v>41855</v>
      </c>
      <c r="AK220" s="61">
        <f t="shared" si="110"/>
        <v>2.9750000000000002E-2</v>
      </c>
      <c r="AL220" s="58">
        <v>42220</v>
      </c>
      <c r="AM220" s="61">
        <f t="shared" si="111"/>
        <v>2.9750000000000002E-2</v>
      </c>
      <c r="AO220" s="58">
        <v>41855</v>
      </c>
      <c r="AP220" s="61">
        <f t="shared" si="112"/>
        <v>3.4416666666666665E-2</v>
      </c>
      <c r="AQ220" s="58">
        <v>42220</v>
      </c>
      <c r="AR220" s="61">
        <f t="shared" si="113"/>
        <v>2.7416666666666662E-2</v>
      </c>
    </row>
    <row r="221" spans="4:44">
      <c r="D221" s="14">
        <v>217</v>
      </c>
      <c r="E221" s="12">
        <v>41491</v>
      </c>
      <c r="F221" s="15">
        <f t="shared" si="120"/>
        <v>4.3125000000000004E-2</v>
      </c>
      <c r="H221" s="14">
        <v>217</v>
      </c>
      <c r="I221" s="12">
        <v>41856</v>
      </c>
      <c r="J221" s="15">
        <f t="shared" si="121"/>
        <v>4.0624999999999994E-2</v>
      </c>
      <c r="K221" s="4"/>
      <c r="L221" s="14">
        <v>217</v>
      </c>
      <c r="M221" s="12">
        <v>42221</v>
      </c>
      <c r="N221" s="15">
        <f t="shared" si="122"/>
        <v>3.437500000000001E-2</v>
      </c>
      <c r="O221" s="31"/>
      <c r="P221" s="14">
        <v>217</v>
      </c>
      <c r="Q221" s="12">
        <v>41856</v>
      </c>
      <c r="R221" s="15">
        <f t="shared" si="123"/>
        <v>3.1875000000000001E-2</v>
      </c>
      <c r="S221" s="4"/>
      <c r="T221" s="14">
        <v>217</v>
      </c>
      <c r="U221" s="12">
        <v>42221</v>
      </c>
      <c r="V221" s="15">
        <f t="shared" si="124"/>
        <v>3.1875000000000001E-2</v>
      </c>
      <c r="AA221" s="14">
        <v>217</v>
      </c>
      <c r="AB221" s="12">
        <v>41125</v>
      </c>
      <c r="AC221" s="15">
        <f t="shared" si="125"/>
        <v>4.5624999999999999E-2</v>
      </c>
      <c r="AI221" s="60">
        <v>217</v>
      </c>
      <c r="AJ221" s="58">
        <v>41856</v>
      </c>
      <c r="AK221" s="61">
        <f t="shared" si="110"/>
        <v>2.9750000000000002E-2</v>
      </c>
      <c r="AL221" s="58">
        <v>42221</v>
      </c>
      <c r="AM221" s="61">
        <f t="shared" si="111"/>
        <v>2.9750000000000002E-2</v>
      </c>
      <c r="AO221" s="58">
        <v>41856</v>
      </c>
      <c r="AP221" s="61">
        <f t="shared" si="112"/>
        <v>3.4416666666666665E-2</v>
      </c>
      <c r="AQ221" s="58">
        <v>42221</v>
      </c>
      <c r="AR221" s="61">
        <f t="shared" si="113"/>
        <v>2.7416666666666662E-2</v>
      </c>
    </row>
    <row r="222" spans="4:44">
      <c r="D222" s="14">
        <v>218</v>
      </c>
      <c r="E222" s="12">
        <v>41492</v>
      </c>
      <c r="F222" s="15">
        <f t="shared" si="120"/>
        <v>4.3125000000000004E-2</v>
      </c>
      <c r="H222" s="14">
        <v>218</v>
      </c>
      <c r="I222" s="12">
        <v>41857</v>
      </c>
      <c r="J222" s="15">
        <f t="shared" si="121"/>
        <v>4.0624999999999994E-2</v>
      </c>
      <c r="K222" s="4"/>
      <c r="L222" s="14">
        <v>218</v>
      </c>
      <c r="M222" s="12">
        <v>42222</v>
      </c>
      <c r="N222" s="15">
        <f t="shared" si="122"/>
        <v>3.437500000000001E-2</v>
      </c>
      <c r="O222" s="31"/>
      <c r="P222" s="14">
        <v>218</v>
      </c>
      <c r="Q222" s="12">
        <v>41857</v>
      </c>
      <c r="R222" s="15">
        <f t="shared" si="123"/>
        <v>3.1875000000000001E-2</v>
      </c>
      <c r="S222" s="4"/>
      <c r="T222" s="14">
        <v>218</v>
      </c>
      <c r="U222" s="12">
        <v>42222</v>
      </c>
      <c r="V222" s="15">
        <f t="shared" si="124"/>
        <v>3.1875000000000001E-2</v>
      </c>
      <c r="AA222" s="14">
        <v>218</v>
      </c>
      <c r="AB222" s="12">
        <v>41126</v>
      </c>
      <c r="AC222" s="15">
        <f t="shared" si="125"/>
        <v>4.5624999999999999E-2</v>
      </c>
      <c r="AI222" s="60">
        <v>218</v>
      </c>
      <c r="AJ222" s="58">
        <v>41857</v>
      </c>
      <c r="AK222" s="64">
        <f t="shared" ref="AK222:AK252" si="126">AK$221+AK$4/AI$4/100</f>
        <v>3.4000000000000002E-2</v>
      </c>
      <c r="AL222" s="58">
        <v>42222</v>
      </c>
      <c r="AM222" s="64">
        <f t="shared" ref="AM222:AM252" si="127">AM$221+AM$4/AI$4/100</f>
        <v>3.4000000000000002E-2</v>
      </c>
      <c r="AO222" s="58">
        <v>41857</v>
      </c>
      <c r="AP222" s="64">
        <f t="shared" ref="AP222:AP252" si="128">AP$221+AP$4/AI$4/100</f>
        <v>3.9333333333333331E-2</v>
      </c>
      <c r="AQ222" s="58">
        <v>42222</v>
      </c>
      <c r="AR222" s="64">
        <f t="shared" ref="AR222:AR252" si="129">AR$221+AR$4/AI$4/100</f>
        <v>3.1333333333333331E-2</v>
      </c>
    </row>
    <row r="223" spans="4:44">
      <c r="D223" s="14">
        <v>219</v>
      </c>
      <c r="E223" s="12">
        <v>41493</v>
      </c>
      <c r="F223" s="15">
        <f t="shared" si="120"/>
        <v>4.3125000000000004E-2</v>
      </c>
      <c r="H223" s="14">
        <v>219</v>
      </c>
      <c r="I223" s="12">
        <v>41858</v>
      </c>
      <c r="J223" s="15">
        <f t="shared" si="121"/>
        <v>4.0624999999999994E-2</v>
      </c>
      <c r="K223" s="4"/>
      <c r="L223" s="14">
        <v>219</v>
      </c>
      <c r="M223" s="12">
        <v>42223</v>
      </c>
      <c r="N223" s="15">
        <f t="shared" si="122"/>
        <v>3.437500000000001E-2</v>
      </c>
      <c r="O223" s="31"/>
      <c r="P223" s="14">
        <v>219</v>
      </c>
      <c r="Q223" s="12">
        <v>41858</v>
      </c>
      <c r="R223" s="15">
        <f t="shared" si="123"/>
        <v>3.1875000000000001E-2</v>
      </c>
      <c r="S223" s="4"/>
      <c r="T223" s="14">
        <v>219</v>
      </c>
      <c r="U223" s="12">
        <v>42223</v>
      </c>
      <c r="V223" s="15">
        <f t="shared" si="124"/>
        <v>3.1875000000000001E-2</v>
      </c>
      <c r="AA223" s="14">
        <v>219</v>
      </c>
      <c r="AB223" s="12">
        <v>41127</v>
      </c>
      <c r="AC223" s="15">
        <f t="shared" si="125"/>
        <v>4.5624999999999999E-2</v>
      </c>
      <c r="AI223" s="60">
        <v>219</v>
      </c>
      <c r="AJ223" s="58">
        <v>41858</v>
      </c>
      <c r="AK223" s="61">
        <f t="shared" si="126"/>
        <v>3.4000000000000002E-2</v>
      </c>
      <c r="AL223" s="58">
        <v>42223</v>
      </c>
      <c r="AM223" s="61">
        <f t="shared" si="127"/>
        <v>3.4000000000000002E-2</v>
      </c>
      <c r="AO223" s="58">
        <v>41858</v>
      </c>
      <c r="AP223" s="61">
        <f t="shared" si="128"/>
        <v>3.9333333333333331E-2</v>
      </c>
      <c r="AQ223" s="58">
        <v>42223</v>
      </c>
      <c r="AR223" s="61">
        <f t="shared" si="129"/>
        <v>3.1333333333333331E-2</v>
      </c>
    </row>
    <row r="224" spans="4:44">
      <c r="D224" s="14">
        <v>220</v>
      </c>
      <c r="E224" s="12">
        <v>41494</v>
      </c>
      <c r="F224" s="15">
        <f t="shared" si="120"/>
        <v>4.3125000000000004E-2</v>
      </c>
      <c r="H224" s="14">
        <v>220</v>
      </c>
      <c r="I224" s="12">
        <v>41859</v>
      </c>
      <c r="J224" s="15">
        <f t="shared" si="121"/>
        <v>4.0624999999999994E-2</v>
      </c>
      <c r="K224" s="4"/>
      <c r="L224" s="14">
        <v>220</v>
      </c>
      <c r="M224" s="12">
        <v>42224</v>
      </c>
      <c r="N224" s="15">
        <f t="shared" si="122"/>
        <v>3.437500000000001E-2</v>
      </c>
      <c r="O224" s="31"/>
      <c r="P224" s="14">
        <v>220</v>
      </c>
      <c r="Q224" s="12">
        <v>41859</v>
      </c>
      <c r="R224" s="15">
        <f t="shared" si="123"/>
        <v>3.1875000000000001E-2</v>
      </c>
      <c r="S224" s="4"/>
      <c r="T224" s="14">
        <v>220</v>
      </c>
      <c r="U224" s="12">
        <v>42224</v>
      </c>
      <c r="V224" s="15">
        <f t="shared" si="124"/>
        <v>3.1875000000000001E-2</v>
      </c>
      <c r="AA224" s="14">
        <v>220</v>
      </c>
      <c r="AB224" s="12">
        <v>41128</v>
      </c>
      <c r="AC224" s="15">
        <f t="shared" si="125"/>
        <v>4.5624999999999999E-2</v>
      </c>
      <c r="AI224" s="60">
        <v>220</v>
      </c>
      <c r="AJ224" s="58">
        <v>41859</v>
      </c>
      <c r="AK224" s="61">
        <f t="shared" si="126"/>
        <v>3.4000000000000002E-2</v>
      </c>
      <c r="AL224" s="58">
        <v>42224</v>
      </c>
      <c r="AM224" s="61">
        <f t="shared" si="127"/>
        <v>3.4000000000000002E-2</v>
      </c>
      <c r="AO224" s="58">
        <v>41859</v>
      </c>
      <c r="AP224" s="61">
        <f t="shared" si="128"/>
        <v>3.9333333333333331E-2</v>
      </c>
      <c r="AQ224" s="58">
        <v>42224</v>
      </c>
      <c r="AR224" s="61">
        <f t="shared" si="129"/>
        <v>3.1333333333333331E-2</v>
      </c>
    </row>
    <row r="225" spans="4:44">
      <c r="D225" s="14">
        <v>221</v>
      </c>
      <c r="E225" s="12">
        <v>41495</v>
      </c>
      <c r="F225" s="15">
        <f t="shared" si="120"/>
        <v>4.3125000000000004E-2</v>
      </c>
      <c r="H225" s="14">
        <v>221</v>
      </c>
      <c r="I225" s="12">
        <v>41860</v>
      </c>
      <c r="J225" s="15">
        <f t="shared" si="121"/>
        <v>4.0624999999999994E-2</v>
      </c>
      <c r="K225" s="4"/>
      <c r="L225" s="14">
        <v>221</v>
      </c>
      <c r="M225" s="12">
        <v>42225</v>
      </c>
      <c r="N225" s="15">
        <f t="shared" si="122"/>
        <v>3.437500000000001E-2</v>
      </c>
      <c r="O225" s="31"/>
      <c r="P225" s="14">
        <v>221</v>
      </c>
      <c r="Q225" s="12">
        <v>41860</v>
      </c>
      <c r="R225" s="15">
        <f t="shared" si="123"/>
        <v>3.1875000000000001E-2</v>
      </c>
      <c r="S225" s="4"/>
      <c r="T225" s="14">
        <v>221</v>
      </c>
      <c r="U225" s="12">
        <v>42225</v>
      </c>
      <c r="V225" s="15">
        <f t="shared" si="124"/>
        <v>3.1875000000000001E-2</v>
      </c>
      <c r="AA225" s="14">
        <v>221</v>
      </c>
      <c r="AB225" s="12">
        <v>41129</v>
      </c>
      <c r="AC225" s="15">
        <f t="shared" si="125"/>
        <v>4.5624999999999999E-2</v>
      </c>
      <c r="AI225" s="60">
        <v>221</v>
      </c>
      <c r="AJ225" s="58">
        <v>41860</v>
      </c>
      <c r="AK225" s="61">
        <f t="shared" si="126"/>
        <v>3.4000000000000002E-2</v>
      </c>
      <c r="AL225" s="58">
        <v>42225</v>
      </c>
      <c r="AM225" s="61">
        <f t="shared" si="127"/>
        <v>3.4000000000000002E-2</v>
      </c>
      <c r="AO225" s="58">
        <v>41860</v>
      </c>
      <c r="AP225" s="61">
        <f t="shared" si="128"/>
        <v>3.9333333333333331E-2</v>
      </c>
      <c r="AQ225" s="58">
        <v>42225</v>
      </c>
      <c r="AR225" s="61">
        <f t="shared" si="129"/>
        <v>3.1333333333333331E-2</v>
      </c>
    </row>
    <row r="226" spans="4:44">
      <c r="D226" s="14">
        <v>222</v>
      </c>
      <c r="E226" s="12">
        <v>41496</v>
      </c>
      <c r="F226" s="15">
        <f t="shared" si="120"/>
        <v>4.3125000000000004E-2</v>
      </c>
      <c r="H226" s="14">
        <v>222</v>
      </c>
      <c r="I226" s="12">
        <v>41861</v>
      </c>
      <c r="J226" s="15">
        <f t="shared" si="121"/>
        <v>4.0624999999999994E-2</v>
      </c>
      <c r="K226" s="4"/>
      <c r="L226" s="14">
        <v>222</v>
      </c>
      <c r="M226" s="12">
        <v>42226</v>
      </c>
      <c r="N226" s="15">
        <f t="shared" si="122"/>
        <v>3.437500000000001E-2</v>
      </c>
      <c r="O226" s="31"/>
      <c r="P226" s="14">
        <v>222</v>
      </c>
      <c r="Q226" s="12">
        <v>41861</v>
      </c>
      <c r="R226" s="15">
        <f t="shared" si="123"/>
        <v>3.1875000000000001E-2</v>
      </c>
      <c r="S226" s="4"/>
      <c r="T226" s="14">
        <v>222</v>
      </c>
      <c r="U226" s="12">
        <v>42226</v>
      </c>
      <c r="V226" s="15">
        <f t="shared" si="124"/>
        <v>3.1875000000000001E-2</v>
      </c>
      <c r="AA226" s="14">
        <v>222</v>
      </c>
      <c r="AB226" s="12">
        <v>41130</v>
      </c>
      <c r="AC226" s="15">
        <f t="shared" si="125"/>
        <v>4.5624999999999999E-2</v>
      </c>
      <c r="AI226" s="60">
        <v>222</v>
      </c>
      <c r="AJ226" s="58">
        <v>41861</v>
      </c>
      <c r="AK226" s="61">
        <f t="shared" si="126"/>
        <v>3.4000000000000002E-2</v>
      </c>
      <c r="AL226" s="58">
        <v>42226</v>
      </c>
      <c r="AM226" s="61">
        <f t="shared" si="127"/>
        <v>3.4000000000000002E-2</v>
      </c>
      <c r="AO226" s="58">
        <v>41861</v>
      </c>
      <c r="AP226" s="61">
        <f t="shared" si="128"/>
        <v>3.9333333333333331E-2</v>
      </c>
      <c r="AQ226" s="58">
        <v>42226</v>
      </c>
      <c r="AR226" s="61">
        <f t="shared" si="129"/>
        <v>3.1333333333333331E-2</v>
      </c>
    </row>
    <row r="227" spans="4:44">
      <c r="D227" s="14">
        <v>223</v>
      </c>
      <c r="E227" s="12">
        <v>41497</v>
      </c>
      <c r="F227" s="15">
        <f t="shared" si="120"/>
        <v>4.3125000000000004E-2</v>
      </c>
      <c r="H227" s="14">
        <v>223</v>
      </c>
      <c r="I227" s="12">
        <v>41862</v>
      </c>
      <c r="J227" s="15">
        <f t="shared" si="121"/>
        <v>4.0624999999999994E-2</v>
      </c>
      <c r="K227" s="4"/>
      <c r="L227" s="14">
        <v>223</v>
      </c>
      <c r="M227" s="12">
        <v>42227</v>
      </c>
      <c r="N227" s="15">
        <f t="shared" si="122"/>
        <v>3.437500000000001E-2</v>
      </c>
      <c r="O227" s="31"/>
      <c r="P227" s="14">
        <v>223</v>
      </c>
      <c r="Q227" s="12">
        <v>41862</v>
      </c>
      <c r="R227" s="15">
        <f t="shared" si="123"/>
        <v>3.1875000000000001E-2</v>
      </c>
      <c r="S227" s="4"/>
      <c r="T227" s="14">
        <v>223</v>
      </c>
      <c r="U227" s="12">
        <v>42227</v>
      </c>
      <c r="V227" s="15">
        <f t="shared" si="124"/>
        <v>3.1875000000000001E-2</v>
      </c>
      <c r="AA227" s="14">
        <v>223</v>
      </c>
      <c r="AB227" s="12">
        <v>41131</v>
      </c>
      <c r="AC227" s="15">
        <f t="shared" si="125"/>
        <v>4.5624999999999999E-2</v>
      </c>
      <c r="AI227" s="60">
        <v>223</v>
      </c>
      <c r="AJ227" s="58">
        <v>41862</v>
      </c>
      <c r="AK227" s="61">
        <f t="shared" si="126"/>
        <v>3.4000000000000002E-2</v>
      </c>
      <c r="AL227" s="58">
        <v>42227</v>
      </c>
      <c r="AM227" s="61">
        <f t="shared" si="127"/>
        <v>3.4000000000000002E-2</v>
      </c>
      <c r="AO227" s="58">
        <v>41862</v>
      </c>
      <c r="AP227" s="61">
        <f t="shared" si="128"/>
        <v>3.9333333333333331E-2</v>
      </c>
      <c r="AQ227" s="58">
        <v>42227</v>
      </c>
      <c r="AR227" s="61">
        <f t="shared" si="129"/>
        <v>3.1333333333333331E-2</v>
      </c>
    </row>
    <row r="228" spans="4:44">
      <c r="D228" s="14">
        <v>224</v>
      </c>
      <c r="E228" s="12">
        <v>41498</v>
      </c>
      <c r="F228" s="15">
        <f t="shared" si="120"/>
        <v>4.3125000000000004E-2</v>
      </c>
      <c r="H228" s="14">
        <v>224</v>
      </c>
      <c r="I228" s="12">
        <v>41863</v>
      </c>
      <c r="J228" s="15">
        <f t="shared" si="121"/>
        <v>4.0624999999999994E-2</v>
      </c>
      <c r="K228" s="4"/>
      <c r="L228" s="14">
        <v>224</v>
      </c>
      <c r="M228" s="12">
        <v>42228</v>
      </c>
      <c r="N228" s="15">
        <f t="shared" si="122"/>
        <v>3.437500000000001E-2</v>
      </c>
      <c r="O228" s="31"/>
      <c r="P228" s="14">
        <v>224</v>
      </c>
      <c r="Q228" s="12">
        <v>41863</v>
      </c>
      <c r="R228" s="15">
        <f t="shared" si="123"/>
        <v>3.1875000000000001E-2</v>
      </c>
      <c r="S228" s="4"/>
      <c r="T228" s="14">
        <v>224</v>
      </c>
      <c r="U228" s="12">
        <v>42228</v>
      </c>
      <c r="V228" s="15">
        <f t="shared" si="124"/>
        <v>3.1875000000000001E-2</v>
      </c>
      <c r="AA228" s="14">
        <v>224</v>
      </c>
      <c r="AB228" s="12">
        <v>41132</v>
      </c>
      <c r="AC228" s="15">
        <f t="shared" si="125"/>
        <v>4.5624999999999999E-2</v>
      </c>
      <c r="AI228" s="60">
        <v>224</v>
      </c>
      <c r="AJ228" s="58">
        <v>41863</v>
      </c>
      <c r="AK228" s="61">
        <f t="shared" si="126"/>
        <v>3.4000000000000002E-2</v>
      </c>
      <c r="AL228" s="58">
        <v>42228</v>
      </c>
      <c r="AM228" s="61">
        <f t="shared" si="127"/>
        <v>3.4000000000000002E-2</v>
      </c>
      <c r="AO228" s="58">
        <v>41863</v>
      </c>
      <c r="AP228" s="61">
        <f t="shared" si="128"/>
        <v>3.9333333333333331E-2</v>
      </c>
      <c r="AQ228" s="58">
        <v>42228</v>
      </c>
      <c r="AR228" s="61">
        <f t="shared" si="129"/>
        <v>3.1333333333333331E-2</v>
      </c>
    </row>
    <row r="229" spans="4:44">
      <c r="D229" s="14">
        <v>225</v>
      </c>
      <c r="E229" s="12">
        <v>41499</v>
      </c>
      <c r="F229" s="15">
        <f t="shared" si="120"/>
        <v>4.3125000000000004E-2</v>
      </c>
      <c r="H229" s="14">
        <v>225</v>
      </c>
      <c r="I229" s="12">
        <v>41864</v>
      </c>
      <c r="J229" s="15">
        <f t="shared" si="121"/>
        <v>4.0624999999999994E-2</v>
      </c>
      <c r="K229" s="4"/>
      <c r="L229" s="14">
        <v>225</v>
      </c>
      <c r="M229" s="12">
        <v>42229</v>
      </c>
      <c r="N229" s="15">
        <f t="shared" si="122"/>
        <v>3.437500000000001E-2</v>
      </c>
      <c r="O229" s="31"/>
      <c r="P229" s="14">
        <v>225</v>
      </c>
      <c r="Q229" s="12">
        <v>41864</v>
      </c>
      <c r="R229" s="15">
        <f t="shared" si="123"/>
        <v>3.1875000000000001E-2</v>
      </c>
      <c r="S229" s="4"/>
      <c r="T229" s="14">
        <v>225</v>
      </c>
      <c r="U229" s="12">
        <v>42229</v>
      </c>
      <c r="V229" s="15">
        <f t="shared" si="124"/>
        <v>3.1875000000000001E-2</v>
      </c>
      <c r="AA229" s="14">
        <v>225</v>
      </c>
      <c r="AB229" s="12">
        <v>41133</v>
      </c>
      <c r="AC229" s="15">
        <f t="shared" si="125"/>
        <v>4.5624999999999999E-2</v>
      </c>
      <c r="AI229" s="60">
        <v>225</v>
      </c>
      <c r="AJ229" s="58">
        <v>41864</v>
      </c>
      <c r="AK229" s="61">
        <f t="shared" si="126"/>
        <v>3.4000000000000002E-2</v>
      </c>
      <c r="AL229" s="58">
        <v>42229</v>
      </c>
      <c r="AM229" s="61">
        <f t="shared" si="127"/>
        <v>3.4000000000000002E-2</v>
      </c>
      <c r="AO229" s="58">
        <v>41864</v>
      </c>
      <c r="AP229" s="61">
        <f t="shared" si="128"/>
        <v>3.9333333333333331E-2</v>
      </c>
      <c r="AQ229" s="58">
        <v>42229</v>
      </c>
      <c r="AR229" s="61">
        <f t="shared" si="129"/>
        <v>3.1333333333333331E-2</v>
      </c>
    </row>
    <row r="230" spans="4:44">
      <c r="D230" s="14">
        <v>226</v>
      </c>
      <c r="E230" s="12">
        <v>41500</v>
      </c>
      <c r="F230" s="15">
        <f t="shared" si="120"/>
        <v>4.3125000000000004E-2</v>
      </c>
      <c r="H230" s="14">
        <v>226</v>
      </c>
      <c r="I230" s="12">
        <v>41865</v>
      </c>
      <c r="J230" s="15">
        <f t="shared" si="121"/>
        <v>4.0624999999999994E-2</v>
      </c>
      <c r="K230" s="4"/>
      <c r="L230" s="14">
        <v>226</v>
      </c>
      <c r="M230" s="12">
        <v>42230</v>
      </c>
      <c r="N230" s="15">
        <f t="shared" si="122"/>
        <v>3.437500000000001E-2</v>
      </c>
      <c r="O230" s="31"/>
      <c r="P230" s="14">
        <v>226</v>
      </c>
      <c r="Q230" s="12">
        <v>41865</v>
      </c>
      <c r="R230" s="15">
        <f t="shared" si="123"/>
        <v>3.1875000000000001E-2</v>
      </c>
      <c r="S230" s="4"/>
      <c r="T230" s="14">
        <v>226</v>
      </c>
      <c r="U230" s="12">
        <v>42230</v>
      </c>
      <c r="V230" s="15">
        <f t="shared" si="124"/>
        <v>3.1875000000000001E-2</v>
      </c>
      <c r="AA230" s="14">
        <v>226</v>
      </c>
      <c r="AB230" s="12">
        <v>41134</v>
      </c>
      <c r="AC230" s="15">
        <f t="shared" si="125"/>
        <v>4.5624999999999999E-2</v>
      </c>
      <c r="AI230" s="60">
        <v>226</v>
      </c>
      <c r="AJ230" s="58">
        <v>41865</v>
      </c>
      <c r="AK230" s="61">
        <f t="shared" si="126"/>
        <v>3.4000000000000002E-2</v>
      </c>
      <c r="AL230" s="58">
        <v>42230</v>
      </c>
      <c r="AM230" s="61">
        <f t="shared" si="127"/>
        <v>3.4000000000000002E-2</v>
      </c>
      <c r="AO230" s="58">
        <v>41865</v>
      </c>
      <c r="AP230" s="61">
        <f t="shared" si="128"/>
        <v>3.9333333333333331E-2</v>
      </c>
      <c r="AQ230" s="58">
        <v>42230</v>
      </c>
      <c r="AR230" s="61">
        <f t="shared" si="129"/>
        <v>3.1333333333333331E-2</v>
      </c>
    </row>
    <row r="231" spans="4:44">
      <c r="D231" s="14">
        <v>227</v>
      </c>
      <c r="E231" s="12">
        <v>41501</v>
      </c>
      <c r="F231" s="15">
        <f t="shared" si="120"/>
        <v>4.3125000000000004E-2</v>
      </c>
      <c r="H231" s="14">
        <v>227</v>
      </c>
      <c r="I231" s="12">
        <v>41866</v>
      </c>
      <c r="J231" s="15">
        <f t="shared" si="121"/>
        <v>4.0624999999999994E-2</v>
      </c>
      <c r="K231" s="4"/>
      <c r="L231" s="14">
        <v>227</v>
      </c>
      <c r="M231" s="12">
        <v>42231</v>
      </c>
      <c r="N231" s="15">
        <f t="shared" si="122"/>
        <v>3.437500000000001E-2</v>
      </c>
      <c r="O231" s="31"/>
      <c r="P231" s="14">
        <v>227</v>
      </c>
      <c r="Q231" s="12">
        <v>41866</v>
      </c>
      <c r="R231" s="15">
        <f t="shared" si="123"/>
        <v>3.1875000000000001E-2</v>
      </c>
      <c r="S231" s="4"/>
      <c r="T231" s="14">
        <v>227</v>
      </c>
      <c r="U231" s="12">
        <v>42231</v>
      </c>
      <c r="V231" s="15">
        <f t="shared" si="124"/>
        <v>3.1875000000000001E-2</v>
      </c>
      <c r="AA231" s="14">
        <v>227</v>
      </c>
      <c r="AB231" s="12">
        <v>41135</v>
      </c>
      <c r="AC231" s="15">
        <f t="shared" si="125"/>
        <v>4.5624999999999999E-2</v>
      </c>
      <c r="AI231" s="60">
        <v>227</v>
      </c>
      <c r="AJ231" s="58">
        <v>41866</v>
      </c>
      <c r="AK231" s="61">
        <f t="shared" si="126"/>
        <v>3.4000000000000002E-2</v>
      </c>
      <c r="AL231" s="58">
        <v>42231</v>
      </c>
      <c r="AM231" s="61">
        <f t="shared" si="127"/>
        <v>3.4000000000000002E-2</v>
      </c>
      <c r="AO231" s="58">
        <v>41866</v>
      </c>
      <c r="AP231" s="61">
        <f t="shared" si="128"/>
        <v>3.9333333333333331E-2</v>
      </c>
      <c r="AQ231" s="58">
        <v>42231</v>
      </c>
      <c r="AR231" s="61">
        <f t="shared" si="129"/>
        <v>3.1333333333333331E-2</v>
      </c>
    </row>
    <row r="232" spans="4:44">
      <c r="D232" s="14">
        <v>228</v>
      </c>
      <c r="E232" s="12">
        <v>41502</v>
      </c>
      <c r="F232" s="15">
        <f t="shared" si="120"/>
        <v>4.3125000000000004E-2</v>
      </c>
      <c r="H232" s="14">
        <v>228</v>
      </c>
      <c r="I232" s="12">
        <v>41867</v>
      </c>
      <c r="J232" s="15">
        <f t="shared" si="121"/>
        <v>4.0624999999999994E-2</v>
      </c>
      <c r="K232" s="4"/>
      <c r="L232" s="14">
        <v>228</v>
      </c>
      <c r="M232" s="12">
        <v>42232</v>
      </c>
      <c r="N232" s="15">
        <f t="shared" si="122"/>
        <v>3.437500000000001E-2</v>
      </c>
      <c r="O232" s="31"/>
      <c r="P232" s="14">
        <v>228</v>
      </c>
      <c r="Q232" s="12">
        <v>41867</v>
      </c>
      <c r="R232" s="15">
        <f t="shared" si="123"/>
        <v>3.1875000000000001E-2</v>
      </c>
      <c r="S232" s="4"/>
      <c r="T232" s="14">
        <v>228</v>
      </c>
      <c r="U232" s="12">
        <v>42232</v>
      </c>
      <c r="V232" s="15">
        <f t="shared" si="124"/>
        <v>3.1875000000000001E-2</v>
      </c>
      <c r="AA232" s="14">
        <v>228</v>
      </c>
      <c r="AB232" s="12">
        <v>41136</v>
      </c>
      <c r="AC232" s="15">
        <f t="shared" si="125"/>
        <v>4.5624999999999999E-2</v>
      </c>
      <c r="AI232" s="60">
        <v>228</v>
      </c>
      <c r="AJ232" s="58">
        <v>41867</v>
      </c>
      <c r="AK232" s="61">
        <f t="shared" si="126"/>
        <v>3.4000000000000002E-2</v>
      </c>
      <c r="AL232" s="58">
        <v>42232</v>
      </c>
      <c r="AM232" s="61">
        <f t="shared" si="127"/>
        <v>3.4000000000000002E-2</v>
      </c>
      <c r="AO232" s="58">
        <v>41867</v>
      </c>
      <c r="AP232" s="61">
        <f t="shared" si="128"/>
        <v>3.9333333333333331E-2</v>
      </c>
      <c r="AQ232" s="58">
        <v>42232</v>
      </c>
      <c r="AR232" s="61">
        <f t="shared" si="129"/>
        <v>3.1333333333333331E-2</v>
      </c>
    </row>
    <row r="233" spans="4:44">
      <c r="D233" s="14">
        <v>229</v>
      </c>
      <c r="E233" s="12">
        <v>41503</v>
      </c>
      <c r="F233" s="15">
        <f t="shared" si="120"/>
        <v>4.3125000000000004E-2</v>
      </c>
      <c r="H233" s="14">
        <v>229</v>
      </c>
      <c r="I233" s="12">
        <v>41868</v>
      </c>
      <c r="J233" s="15">
        <f t="shared" si="121"/>
        <v>4.0624999999999994E-2</v>
      </c>
      <c r="K233" s="4"/>
      <c r="L233" s="14">
        <v>229</v>
      </c>
      <c r="M233" s="12">
        <v>42233</v>
      </c>
      <c r="N233" s="15">
        <f t="shared" si="122"/>
        <v>3.437500000000001E-2</v>
      </c>
      <c r="O233" s="31"/>
      <c r="P233" s="14">
        <v>229</v>
      </c>
      <c r="Q233" s="12">
        <v>41868</v>
      </c>
      <c r="R233" s="15">
        <f t="shared" si="123"/>
        <v>3.1875000000000001E-2</v>
      </c>
      <c r="S233" s="4"/>
      <c r="T233" s="14">
        <v>229</v>
      </c>
      <c r="U233" s="12">
        <v>42233</v>
      </c>
      <c r="V233" s="15">
        <f t="shared" si="124"/>
        <v>3.1875000000000001E-2</v>
      </c>
      <c r="AA233" s="14">
        <v>229</v>
      </c>
      <c r="AB233" s="12">
        <v>41137</v>
      </c>
      <c r="AC233" s="15">
        <f t="shared" si="125"/>
        <v>4.5624999999999999E-2</v>
      </c>
      <c r="AI233" s="60">
        <v>229</v>
      </c>
      <c r="AJ233" s="58">
        <v>41868</v>
      </c>
      <c r="AK233" s="61">
        <f t="shared" si="126"/>
        <v>3.4000000000000002E-2</v>
      </c>
      <c r="AL233" s="58">
        <v>42233</v>
      </c>
      <c r="AM233" s="61">
        <f t="shared" si="127"/>
        <v>3.4000000000000002E-2</v>
      </c>
      <c r="AO233" s="58">
        <v>41868</v>
      </c>
      <c r="AP233" s="61">
        <f t="shared" si="128"/>
        <v>3.9333333333333331E-2</v>
      </c>
      <c r="AQ233" s="58">
        <v>42233</v>
      </c>
      <c r="AR233" s="61">
        <f t="shared" si="129"/>
        <v>3.1333333333333331E-2</v>
      </c>
    </row>
    <row r="234" spans="4:44">
      <c r="D234" s="14">
        <v>230</v>
      </c>
      <c r="E234" s="12">
        <v>41504</v>
      </c>
      <c r="F234" s="15">
        <f t="shared" si="120"/>
        <v>4.3125000000000004E-2</v>
      </c>
      <c r="H234" s="14">
        <v>230</v>
      </c>
      <c r="I234" s="12">
        <v>41869</v>
      </c>
      <c r="J234" s="15">
        <f t="shared" si="121"/>
        <v>4.0624999999999994E-2</v>
      </c>
      <c r="K234" s="4"/>
      <c r="L234" s="14">
        <v>230</v>
      </c>
      <c r="M234" s="12">
        <v>42234</v>
      </c>
      <c r="N234" s="15">
        <f t="shared" si="122"/>
        <v>3.437500000000001E-2</v>
      </c>
      <c r="O234" s="31"/>
      <c r="P234" s="14">
        <v>230</v>
      </c>
      <c r="Q234" s="12">
        <v>41869</v>
      </c>
      <c r="R234" s="15">
        <f t="shared" si="123"/>
        <v>3.1875000000000001E-2</v>
      </c>
      <c r="S234" s="4"/>
      <c r="T234" s="14">
        <v>230</v>
      </c>
      <c r="U234" s="12">
        <v>42234</v>
      </c>
      <c r="V234" s="15">
        <f t="shared" si="124"/>
        <v>3.1875000000000001E-2</v>
      </c>
      <c r="AA234" s="14">
        <v>230</v>
      </c>
      <c r="AB234" s="12">
        <v>41138</v>
      </c>
      <c r="AC234" s="15">
        <f t="shared" si="125"/>
        <v>4.5624999999999999E-2</v>
      </c>
      <c r="AI234" s="60">
        <v>230</v>
      </c>
      <c r="AJ234" s="58">
        <v>41869</v>
      </c>
      <c r="AK234" s="61">
        <f t="shared" si="126"/>
        <v>3.4000000000000002E-2</v>
      </c>
      <c r="AL234" s="58">
        <v>42234</v>
      </c>
      <c r="AM234" s="61">
        <f t="shared" si="127"/>
        <v>3.4000000000000002E-2</v>
      </c>
      <c r="AO234" s="58">
        <v>41869</v>
      </c>
      <c r="AP234" s="61">
        <f t="shared" si="128"/>
        <v>3.9333333333333331E-2</v>
      </c>
      <c r="AQ234" s="58">
        <v>42234</v>
      </c>
      <c r="AR234" s="61">
        <f t="shared" si="129"/>
        <v>3.1333333333333331E-2</v>
      </c>
    </row>
    <row r="235" spans="4:44">
      <c r="D235" s="14">
        <v>231</v>
      </c>
      <c r="E235" s="12">
        <v>41505</v>
      </c>
      <c r="F235" s="15">
        <f t="shared" si="120"/>
        <v>4.3125000000000004E-2</v>
      </c>
      <c r="H235" s="14">
        <v>231</v>
      </c>
      <c r="I235" s="12">
        <v>41870</v>
      </c>
      <c r="J235" s="15">
        <f t="shared" si="121"/>
        <v>4.0624999999999994E-2</v>
      </c>
      <c r="K235" s="4"/>
      <c r="L235" s="14">
        <v>231</v>
      </c>
      <c r="M235" s="12">
        <v>42235</v>
      </c>
      <c r="N235" s="15">
        <f t="shared" si="122"/>
        <v>3.437500000000001E-2</v>
      </c>
      <c r="O235" s="31"/>
      <c r="P235" s="14">
        <v>231</v>
      </c>
      <c r="Q235" s="12">
        <v>41870</v>
      </c>
      <c r="R235" s="15">
        <f t="shared" si="123"/>
        <v>3.1875000000000001E-2</v>
      </c>
      <c r="S235" s="4"/>
      <c r="T235" s="14">
        <v>231</v>
      </c>
      <c r="U235" s="12">
        <v>42235</v>
      </c>
      <c r="V235" s="15">
        <f t="shared" si="124"/>
        <v>3.1875000000000001E-2</v>
      </c>
      <c r="AA235" s="14">
        <v>231</v>
      </c>
      <c r="AB235" s="12">
        <v>41139</v>
      </c>
      <c r="AC235" s="15">
        <f t="shared" si="125"/>
        <v>4.5624999999999999E-2</v>
      </c>
      <c r="AI235" s="60">
        <v>231</v>
      </c>
      <c r="AJ235" s="58">
        <v>41870</v>
      </c>
      <c r="AK235" s="61">
        <f t="shared" si="126"/>
        <v>3.4000000000000002E-2</v>
      </c>
      <c r="AL235" s="58">
        <v>42235</v>
      </c>
      <c r="AM235" s="61">
        <f t="shared" si="127"/>
        <v>3.4000000000000002E-2</v>
      </c>
      <c r="AO235" s="58">
        <v>41870</v>
      </c>
      <c r="AP235" s="61">
        <f t="shared" si="128"/>
        <v>3.9333333333333331E-2</v>
      </c>
      <c r="AQ235" s="58">
        <v>42235</v>
      </c>
      <c r="AR235" s="61">
        <f t="shared" si="129"/>
        <v>3.1333333333333331E-2</v>
      </c>
    </row>
    <row r="236" spans="4:44">
      <c r="D236" s="14">
        <v>232</v>
      </c>
      <c r="E236" s="12">
        <v>41506</v>
      </c>
      <c r="F236" s="15">
        <f t="shared" si="120"/>
        <v>4.3125000000000004E-2</v>
      </c>
      <c r="H236" s="14">
        <v>232</v>
      </c>
      <c r="I236" s="12">
        <v>41871</v>
      </c>
      <c r="J236" s="15">
        <f t="shared" si="121"/>
        <v>4.0624999999999994E-2</v>
      </c>
      <c r="K236" s="4"/>
      <c r="L236" s="14">
        <v>232</v>
      </c>
      <c r="M236" s="12">
        <v>42236</v>
      </c>
      <c r="N236" s="15">
        <f t="shared" si="122"/>
        <v>3.437500000000001E-2</v>
      </c>
      <c r="O236" s="31"/>
      <c r="P236" s="14">
        <v>232</v>
      </c>
      <c r="Q236" s="12">
        <v>41871</v>
      </c>
      <c r="R236" s="15">
        <f t="shared" si="123"/>
        <v>3.1875000000000001E-2</v>
      </c>
      <c r="S236" s="4"/>
      <c r="T236" s="14">
        <v>232</v>
      </c>
      <c r="U236" s="12">
        <v>42236</v>
      </c>
      <c r="V236" s="15">
        <f t="shared" si="124"/>
        <v>3.1875000000000001E-2</v>
      </c>
      <c r="AA236" s="14">
        <v>232</v>
      </c>
      <c r="AB236" s="12">
        <v>41140</v>
      </c>
      <c r="AC236" s="15">
        <f t="shared" si="125"/>
        <v>4.5624999999999999E-2</v>
      </c>
      <c r="AI236" s="60">
        <v>232</v>
      </c>
      <c r="AJ236" s="58">
        <v>41871</v>
      </c>
      <c r="AK236" s="61">
        <f t="shared" si="126"/>
        <v>3.4000000000000002E-2</v>
      </c>
      <c r="AL236" s="58">
        <v>42236</v>
      </c>
      <c r="AM236" s="61">
        <f t="shared" si="127"/>
        <v>3.4000000000000002E-2</v>
      </c>
      <c r="AO236" s="58">
        <v>41871</v>
      </c>
      <c r="AP236" s="61">
        <f t="shared" si="128"/>
        <v>3.9333333333333331E-2</v>
      </c>
      <c r="AQ236" s="58">
        <v>42236</v>
      </c>
      <c r="AR236" s="61">
        <f t="shared" si="129"/>
        <v>3.1333333333333331E-2</v>
      </c>
    </row>
    <row r="237" spans="4:44">
      <c r="D237" s="14">
        <v>233</v>
      </c>
      <c r="E237" s="12">
        <v>41507</v>
      </c>
      <c r="F237" s="29">
        <f t="shared" ref="F237:F247" si="130">F$206+F$4/D$4/100</f>
        <v>4.5999999999999999E-2</v>
      </c>
      <c r="H237" s="14">
        <v>233</v>
      </c>
      <c r="I237" s="12">
        <v>41872</v>
      </c>
      <c r="J237" s="29">
        <f t="shared" ref="J237:J247" si="131">J$206+J$4/H$4/100</f>
        <v>4.3333333333333328E-2</v>
      </c>
      <c r="K237" s="4"/>
      <c r="L237" s="14">
        <v>233</v>
      </c>
      <c r="M237" s="12">
        <v>42237</v>
      </c>
      <c r="N237" s="29">
        <f t="shared" ref="N237:N247" si="132">N$206+N$4/L$4/100</f>
        <v>3.6666666666666674E-2</v>
      </c>
      <c r="O237" s="31"/>
      <c r="P237" s="14">
        <v>233</v>
      </c>
      <c r="Q237" s="12">
        <v>41872</v>
      </c>
      <c r="R237" s="29">
        <f t="shared" ref="R237:R247" si="133">R$206+R$4/P$4/100</f>
        <v>3.4000000000000002E-2</v>
      </c>
      <c r="S237" s="4"/>
      <c r="T237" s="14">
        <v>233</v>
      </c>
      <c r="U237" s="12">
        <v>42237</v>
      </c>
      <c r="V237" s="29">
        <f t="shared" ref="V237:V247" si="134">V$206+V$4/T$4/100</f>
        <v>3.4000000000000002E-2</v>
      </c>
      <c r="AA237" s="30">
        <v>233</v>
      </c>
      <c r="AB237" s="12">
        <v>41141</v>
      </c>
      <c r="AC237" s="15">
        <f t="shared" si="125"/>
        <v>4.5624999999999999E-2</v>
      </c>
      <c r="AI237" s="60">
        <v>233</v>
      </c>
      <c r="AJ237" s="58">
        <v>41872</v>
      </c>
      <c r="AK237" s="61">
        <f t="shared" si="126"/>
        <v>3.4000000000000002E-2</v>
      </c>
      <c r="AL237" s="58">
        <v>42237</v>
      </c>
      <c r="AM237" s="61">
        <f t="shared" si="127"/>
        <v>3.4000000000000002E-2</v>
      </c>
      <c r="AO237" s="58">
        <v>41872</v>
      </c>
      <c r="AP237" s="61">
        <f t="shared" si="128"/>
        <v>3.9333333333333331E-2</v>
      </c>
      <c r="AQ237" s="58">
        <v>42237</v>
      </c>
      <c r="AR237" s="61">
        <f t="shared" si="129"/>
        <v>3.1333333333333331E-2</v>
      </c>
    </row>
    <row r="238" spans="4:44">
      <c r="D238" s="14">
        <v>234</v>
      </c>
      <c r="E238" s="12">
        <v>41508</v>
      </c>
      <c r="F238" s="15">
        <f t="shared" si="130"/>
        <v>4.5999999999999999E-2</v>
      </c>
      <c r="H238" s="14">
        <v>234</v>
      </c>
      <c r="I238" s="12">
        <v>41873</v>
      </c>
      <c r="J238" s="15">
        <f t="shared" si="131"/>
        <v>4.3333333333333328E-2</v>
      </c>
      <c r="K238" s="4"/>
      <c r="L238" s="14">
        <v>234</v>
      </c>
      <c r="M238" s="12">
        <v>42238</v>
      </c>
      <c r="N238" s="15">
        <f t="shared" si="132"/>
        <v>3.6666666666666674E-2</v>
      </c>
      <c r="O238" s="31"/>
      <c r="P238" s="14">
        <v>234</v>
      </c>
      <c r="Q238" s="12">
        <v>41873</v>
      </c>
      <c r="R238" s="15">
        <f t="shared" si="133"/>
        <v>3.4000000000000002E-2</v>
      </c>
      <c r="S238" s="4"/>
      <c r="T238" s="14">
        <v>234</v>
      </c>
      <c r="U238" s="12">
        <v>42238</v>
      </c>
      <c r="V238" s="15">
        <f t="shared" si="134"/>
        <v>3.4000000000000002E-2</v>
      </c>
      <c r="AA238" s="30">
        <v>234</v>
      </c>
      <c r="AB238" s="28">
        <v>41142</v>
      </c>
      <c r="AC238" s="29">
        <f t="shared" ref="AC238:AC248" si="135">AC$207+AC$4/AA$4/100</f>
        <v>4.8666666666666664E-2</v>
      </c>
      <c r="AI238" s="60">
        <v>234</v>
      </c>
      <c r="AJ238" s="58">
        <v>41873</v>
      </c>
      <c r="AK238" s="61">
        <f t="shared" si="126"/>
        <v>3.4000000000000002E-2</v>
      </c>
      <c r="AL238" s="58">
        <v>42238</v>
      </c>
      <c r="AM238" s="61">
        <f t="shared" si="127"/>
        <v>3.4000000000000002E-2</v>
      </c>
      <c r="AO238" s="58">
        <v>41873</v>
      </c>
      <c r="AP238" s="61">
        <f t="shared" si="128"/>
        <v>3.9333333333333331E-2</v>
      </c>
      <c r="AQ238" s="58">
        <v>42238</v>
      </c>
      <c r="AR238" s="61">
        <f t="shared" si="129"/>
        <v>3.1333333333333331E-2</v>
      </c>
    </row>
    <row r="239" spans="4:44">
      <c r="D239" s="14">
        <v>235</v>
      </c>
      <c r="E239" s="12">
        <v>41509</v>
      </c>
      <c r="F239" s="15">
        <f t="shared" si="130"/>
        <v>4.5999999999999999E-2</v>
      </c>
      <c r="H239" s="14">
        <v>235</v>
      </c>
      <c r="I239" s="12">
        <v>41874</v>
      </c>
      <c r="J239" s="15">
        <f t="shared" si="131"/>
        <v>4.3333333333333328E-2</v>
      </c>
      <c r="K239" s="4"/>
      <c r="L239" s="14">
        <v>235</v>
      </c>
      <c r="M239" s="12">
        <v>42239</v>
      </c>
      <c r="N239" s="15">
        <f t="shared" si="132"/>
        <v>3.6666666666666674E-2</v>
      </c>
      <c r="O239" s="31"/>
      <c r="P239" s="14">
        <v>235</v>
      </c>
      <c r="Q239" s="12">
        <v>41874</v>
      </c>
      <c r="R239" s="15">
        <f t="shared" si="133"/>
        <v>3.4000000000000002E-2</v>
      </c>
      <c r="S239" s="4"/>
      <c r="T239" s="14">
        <v>235</v>
      </c>
      <c r="U239" s="12">
        <v>42239</v>
      </c>
      <c r="V239" s="15">
        <f t="shared" si="134"/>
        <v>3.4000000000000002E-2</v>
      </c>
      <c r="AA239" s="14">
        <v>235</v>
      </c>
      <c r="AB239" s="12">
        <v>41143</v>
      </c>
      <c r="AC239" s="15">
        <f t="shared" si="135"/>
        <v>4.8666666666666664E-2</v>
      </c>
      <c r="AI239" s="60">
        <v>235</v>
      </c>
      <c r="AJ239" s="58">
        <v>41874</v>
      </c>
      <c r="AK239" s="61">
        <f t="shared" si="126"/>
        <v>3.4000000000000002E-2</v>
      </c>
      <c r="AL239" s="58">
        <v>42239</v>
      </c>
      <c r="AM239" s="61">
        <f t="shared" si="127"/>
        <v>3.4000000000000002E-2</v>
      </c>
      <c r="AO239" s="58">
        <v>41874</v>
      </c>
      <c r="AP239" s="61">
        <f t="shared" si="128"/>
        <v>3.9333333333333331E-2</v>
      </c>
      <c r="AQ239" s="58">
        <v>42239</v>
      </c>
      <c r="AR239" s="61">
        <f t="shared" si="129"/>
        <v>3.1333333333333331E-2</v>
      </c>
    </row>
    <row r="240" spans="4:44">
      <c r="D240" s="14">
        <v>236</v>
      </c>
      <c r="E240" s="12">
        <v>41510</v>
      </c>
      <c r="F240" s="15">
        <f t="shared" si="130"/>
        <v>4.5999999999999999E-2</v>
      </c>
      <c r="H240" s="14">
        <v>236</v>
      </c>
      <c r="I240" s="12">
        <v>41875</v>
      </c>
      <c r="J240" s="15">
        <f t="shared" si="131"/>
        <v>4.3333333333333328E-2</v>
      </c>
      <c r="K240" s="4"/>
      <c r="L240" s="14">
        <v>236</v>
      </c>
      <c r="M240" s="12">
        <v>42240</v>
      </c>
      <c r="N240" s="15">
        <f t="shared" si="132"/>
        <v>3.6666666666666674E-2</v>
      </c>
      <c r="O240" s="31"/>
      <c r="P240" s="14">
        <v>236</v>
      </c>
      <c r="Q240" s="12">
        <v>41875</v>
      </c>
      <c r="R240" s="15">
        <f t="shared" si="133"/>
        <v>3.4000000000000002E-2</v>
      </c>
      <c r="S240" s="4"/>
      <c r="T240" s="14">
        <v>236</v>
      </c>
      <c r="U240" s="12">
        <v>42240</v>
      </c>
      <c r="V240" s="15">
        <f t="shared" si="134"/>
        <v>3.4000000000000002E-2</v>
      </c>
      <c r="AA240" s="14">
        <v>236</v>
      </c>
      <c r="AB240" s="12">
        <v>41144</v>
      </c>
      <c r="AC240" s="15">
        <f t="shared" si="135"/>
        <v>4.8666666666666664E-2</v>
      </c>
      <c r="AI240" s="60">
        <v>236</v>
      </c>
      <c r="AJ240" s="58">
        <v>41875</v>
      </c>
      <c r="AK240" s="61">
        <f t="shared" si="126"/>
        <v>3.4000000000000002E-2</v>
      </c>
      <c r="AL240" s="58">
        <v>42240</v>
      </c>
      <c r="AM240" s="61">
        <f t="shared" si="127"/>
        <v>3.4000000000000002E-2</v>
      </c>
      <c r="AO240" s="58">
        <v>41875</v>
      </c>
      <c r="AP240" s="61">
        <f t="shared" si="128"/>
        <v>3.9333333333333331E-2</v>
      </c>
      <c r="AQ240" s="58">
        <v>42240</v>
      </c>
      <c r="AR240" s="61">
        <f t="shared" si="129"/>
        <v>3.1333333333333331E-2</v>
      </c>
    </row>
    <row r="241" spans="4:44">
      <c r="D241" s="14">
        <v>237</v>
      </c>
      <c r="E241" s="12">
        <v>41511</v>
      </c>
      <c r="F241" s="15">
        <f t="shared" si="130"/>
        <v>4.5999999999999999E-2</v>
      </c>
      <c r="H241" s="14">
        <v>237</v>
      </c>
      <c r="I241" s="12">
        <v>41876</v>
      </c>
      <c r="J241" s="15">
        <f t="shared" si="131"/>
        <v>4.3333333333333328E-2</v>
      </c>
      <c r="K241" s="4"/>
      <c r="L241" s="14">
        <v>237</v>
      </c>
      <c r="M241" s="12">
        <v>42241</v>
      </c>
      <c r="N241" s="15">
        <f t="shared" si="132"/>
        <v>3.6666666666666674E-2</v>
      </c>
      <c r="O241" s="31"/>
      <c r="P241" s="14">
        <v>237</v>
      </c>
      <c r="Q241" s="12">
        <v>41876</v>
      </c>
      <c r="R241" s="15">
        <f t="shared" si="133"/>
        <v>3.4000000000000002E-2</v>
      </c>
      <c r="S241" s="4"/>
      <c r="T241" s="14">
        <v>237</v>
      </c>
      <c r="U241" s="12">
        <v>42241</v>
      </c>
      <c r="V241" s="15">
        <f t="shared" si="134"/>
        <v>3.4000000000000002E-2</v>
      </c>
      <c r="AA241" s="14">
        <v>237</v>
      </c>
      <c r="AB241" s="12">
        <v>41145</v>
      </c>
      <c r="AC241" s="15">
        <f t="shared" si="135"/>
        <v>4.8666666666666664E-2</v>
      </c>
      <c r="AI241" s="60">
        <v>237</v>
      </c>
      <c r="AJ241" s="58">
        <v>41876</v>
      </c>
      <c r="AK241" s="61">
        <f t="shared" si="126"/>
        <v>3.4000000000000002E-2</v>
      </c>
      <c r="AL241" s="58">
        <v>42241</v>
      </c>
      <c r="AM241" s="61">
        <f t="shared" si="127"/>
        <v>3.4000000000000002E-2</v>
      </c>
      <c r="AO241" s="58">
        <v>41876</v>
      </c>
      <c r="AP241" s="61">
        <f t="shared" si="128"/>
        <v>3.9333333333333331E-2</v>
      </c>
      <c r="AQ241" s="58">
        <v>42241</v>
      </c>
      <c r="AR241" s="61">
        <f t="shared" si="129"/>
        <v>3.1333333333333331E-2</v>
      </c>
    </row>
    <row r="242" spans="4:44">
      <c r="D242" s="14">
        <v>238</v>
      </c>
      <c r="E242" s="12">
        <v>41512</v>
      </c>
      <c r="F242" s="15">
        <f t="shared" si="130"/>
        <v>4.5999999999999999E-2</v>
      </c>
      <c r="H242" s="14">
        <v>238</v>
      </c>
      <c r="I242" s="12">
        <v>41877</v>
      </c>
      <c r="J242" s="15">
        <f t="shared" si="131"/>
        <v>4.3333333333333328E-2</v>
      </c>
      <c r="K242" s="4"/>
      <c r="L242" s="14">
        <v>238</v>
      </c>
      <c r="M242" s="12">
        <v>42242</v>
      </c>
      <c r="N242" s="15">
        <f t="shared" si="132"/>
        <v>3.6666666666666674E-2</v>
      </c>
      <c r="O242" s="31"/>
      <c r="P242" s="14">
        <v>238</v>
      </c>
      <c r="Q242" s="12">
        <v>41877</v>
      </c>
      <c r="R242" s="15">
        <f t="shared" si="133"/>
        <v>3.4000000000000002E-2</v>
      </c>
      <c r="S242" s="4"/>
      <c r="T242" s="14">
        <v>238</v>
      </c>
      <c r="U242" s="12">
        <v>42242</v>
      </c>
      <c r="V242" s="15">
        <f t="shared" si="134"/>
        <v>3.4000000000000002E-2</v>
      </c>
      <c r="AA242" s="14">
        <v>238</v>
      </c>
      <c r="AB242" s="12">
        <v>41146</v>
      </c>
      <c r="AC242" s="15">
        <f t="shared" si="135"/>
        <v>4.8666666666666664E-2</v>
      </c>
      <c r="AI242" s="60">
        <v>238</v>
      </c>
      <c r="AJ242" s="58">
        <v>41877</v>
      </c>
      <c r="AK242" s="61">
        <f t="shared" si="126"/>
        <v>3.4000000000000002E-2</v>
      </c>
      <c r="AL242" s="58">
        <v>42242</v>
      </c>
      <c r="AM242" s="61">
        <f t="shared" si="127"/>
        <v>3.4000000000000002E-2</v>
      </c>
      <c r="AO242" s="58">
        <v>41877</v>
      </c>
      <c r="AP242" s="61">
        <f t="shared" si="128"/>
        <v>3.9333333333333331E-2</v>
      </c>
      <c r="AQ242" s="58">
        <v>42242</v>
      </c>
      <c r="AR242" s="61">
        <f t="shared" si="129"/>
        <v>3.1333333333333331E-2</v>
      </c>
    </row>
    <row r="243" spans="4:44">
      <c r="D243" s="14">
        <v>239</v>
      </c>
      <c r="E243" s="12">
        <v>41513</v>
      </c>
      <c r="F243" s="15">
        <f t="shared" si="130"/>
        <v>4.5999999999999999E-2</v>
      </c>
      <c r="H243" s="14">
        <v>239</v>
      </c>
      <c r="I243" s="12">
        <v>41878</v>
      </c>
      <c r="J243" s="15">
        <f t="shared" si="131"/>
        <v>4.3333333333333328E-2</v>
      </c>
      <c r="K243" s="4"/>
      <c r="L243" s="14">
        <v>239</v>
      </c>
      <c r="M243" s="12">
        <v>42243</v>
      </c>
      <c r="N243" s="15">
        <f t="shared" si="132"/>
        <v>3.6666666666666674E-2</v>
      </c>
      <c r="O243" s="31"/>
      <c r="P243" s="14">
        <v>239</v>
      </c>
      <c r="Q243" s="12">
        <v>41878</v>
      </c>
      <c r="R243" s="15">
        <f t="shared" si="133"/>
        <v>3.4000000000000002E-2</v>
      </c>
      <c r="S243" s="4"/>
      <c r="T243" s="14">
        <v>239</v>
      </c>
      <c r="U243" s="12">
        <v>42243</v>
      </c>
      <c r="V243" s="15">
        <f t="shared" si="134"/>
        <v>3.4000000000000002E-2</v>
      </c>
      <c r="AA243" s="14">
        <v>239</v>
      </c>
      <c r="AB243" s="12">
        <v>41147</v>
      </c>
      <c r="AC243" s="15">
        <f t="shared" si="135"/>
        <v>4.8666666666666664E-2</v>
      </c>
      <c r="AI243" s="60">
        <v>239</v>
      </c>
      <c r="AJ243" s="58">
        <v>41878</v>
      </c>
      <c r="AK243" s="61">
        <f t="shared" si="126"/>
        <v>3.4000000000000002E-2</v>
      </c>
      <c r="AL243" s="58">
        <v>42243</v>
      </c>
      <c r="AM243" s="61">
        <f t="shared" si="127"/>
        <v>3.4000000000000002E-2</v>
      </c>
      <c r="AO243" s="58">
        <v>41878</v>
      </c>
      <c r="AP243" s="61">
        <f t="shared" si="128"/>
        <v>3.9333333333333331E-2</v>
      </c>
      <c r="AQ243" s="58">
        <v>42243</v>
      </c>
      <c r="AR243" s="61">
        <f t="shared" si="129"/>
        <v>3.1333333333333331E-2</v>
      </c>
    </row>
    <row r="244" spans="4:44">
      <c r="D244" s="14">
        <v>240</v>
      </c>
      <c r="E244" s="12">
        <v>41514</v>
      </c>
      <c r="F244" s="15">
        <f t="shared" si="130"/>
        <v>4.5999999999999999E-2</v>
      </c>
      <c r="H244" s="14">
        <v>240</v>
      </c>
      <c r="I244" s="12">
        <v>41879</v>
      </c>
      <c r="J244" s="15">
        <f t="shared" si="131"/>
        <v>4.3333333333333328E-2</v>
      </c>
      <c r="K244" s="4"/>
      <c r="L244" s="14">
        <v>240</v>
      </c>
      <c r="M244" s="12">
        <v>42244</v>
      </c>
      <c r="N244" s="15">
        <f t="shared" si="132"/>
        <v>3.6666666666666674E-2</v>
      </c>
      <c r="O244" s="31"/>
      <c r="P244" s="14">
        <v>240</v>
      </c>
      <c r="Q244" s="12">
        <v>41879</v>
      </c>
      <c r="R244" s="15">
        <f t="shared" si="133"/>
        <v>3.4000000000000002E-2</v>
      </c>
      <c r="S244" s="4"/>
      <c r="T244" s="14">
        <v>240</v>
      </c>
      <c r="U244" s="12">
        <v>42244</v>
      </c>
      <c r="V244" s="15">
        <f t="shared" si="134"/>
        <v>3.4000000000000002E-2</v>
      </c>
      <c r="AA244" s="14">
        <v>240</v>
      </c>
      <c r="AB244" s="12">
        <v>41148</v>
      </c>
      <c r="AC244" s="15">
        <f t="shared" si="135"/>
        <v>4.8666666666666664E-2</v>
      </c>
      <c r="AI244" s="60">
        <v>240</v>
      </c>
      <c r="AJ244" s="58">
        <v>41879</v>
      </c>
      <c r="AK244" s="61">
        <f t="shared" si="126"/>
        <v>3.4000000000000002E-2</v>
      </c>
      <c r="AL244" s="58">
        <v>42244</v>
      </c>
      <c r="AM244" s="61">
        <f t="shared" si="127"/>
        <v>3.4000000000000002E-2</v>
      </c>
      <c r="AO244" s="58">
        <v>41879</v>
      </c>
      <c r="AP244" s="61">
        <f t="shared" si="128"/>
        <v>3.9333333333333331E-2</v>
      </c>
      <c r="AQ244" s="58">
        <v>42244</v>
      </c>
      <c r="AR244" s="61">
        <f t="shared" si="129"/>
        <v>3.1333333333333331E-2</v>
      </c>
    </row>
    <row r="245" spans="4:44">
      <c r="D245" s="14">
        <v>241</v>
      </c>
      <c r="E245" s="12">
        <v>41515</v>
      </c>
      <c r="F245" s="15">
        <f t="shared" si="130"/>
        <v>4.5999999999999999E-2</v>
      </c>
      <c r="H245" s="14">
        <v>241</v>
      </c>
      <c r="I245" s="12">
        <v>41880</v>
      </c>
      <c r="J245" s="15">
        <f t="shared" si="131"/>
        <v>4.3333333333333328E-2</v>
      </c>
      <c r="K245" s="4"/>
      <c r="L245" s="14">
        <v>241</v>
      </c>
      <c r="M245" s="12">
        <v>42245</v>
      </c>
      <c r="N245" s="15">
        <f t="shared" si="132"/>
        <v>3.6666666666666674E-2</v>
      </c>
      <c r="O245" s="31"/>
      <c r="P245" s="14">
        <v>241</v>
      </c>
      <c r="Q245" s="12">
        <v>41880</v>
      </c>
      <c r="R245" s="15">
        <f t="shared" si="133"/>
        <v>3.4000000000000002E-2</v>
      </c>
      <c r="S245" s="4"/>
      <c r="T245" s="14">
        <v>241</v>
      </c>
      <c r="U245" s="12">
        <v>42245</v>
      </c>
      <c r="V245" s="15">
        <f t="shared" si="134"/>
        <v>3.4000000000000002E-2</v>
      </c>
      <c r="AA245" s="14">
        <v>241</v>
      </c>
      <c r="AB245" s="12">
        <v>41149</v>
      </c>
      <c r="AC245" s="15">
        <f t="shared" si="135"/>
        <v>4.8666666666666664E-2</v>
      </c>
      <c r="AI245" s="60">
        <v>241</v>
      </c>
      <c r="AJ245" s="58">
        <v>41880</v>
      </c>
      <c r="AK245" s="61">
        <f t="shared" si="126"/>
        <v>3.4000000000000002E-2</v>
      </c>
      <c r="AL245" s="58">
        <v>42245</v>
      </c>
      <c r="AM245" s="61">
        <f t="shared" si="127"/>
        <v>3.4000000000000002E-2</v>
      </c>
      <c r="AO245" s="58">
        <v>41880</v>
      </c>
      <c r="AP245" s="61">
        <f t="shared" si="128"/>
        <v>3.9333333333333331E-2</v>
      </c>
      <c r="AQ245" s="58">
        <v>42245</v>
      </c>
      <c r="AR245" s="61">
        <f t="shared" si="129"/>
        <v>3.1333333333333331E-2</v>
      </c>
    </row>
    <row r="246" spans="4:44">
      <c r="D246" s="14">
        <v>242</v>
      </c>
      <c r="E246" s="12">
        <v>41516</v>
      </c>
      <c r="F246" s="15">
        <f t="shared" si="130"/>
        <v>4.5999999999999999E-2</v>
      </c>
      <c r="H246" s="14">
        <v>242</v>
      </c>
      <c r="I246" s="12">
        <v>41881</v>
      </c>
      <c r="J246" s="15">
        <f t="shared" si="131"/>
        <v>4.3333333333333328E-2</v>
      </c>
      <c r="K246" s="4"/>
      <c r="L246" s="14">
        <v>242</v>
      </c>
      <c r="M246" s="12">
        <v>42246</v>
      </c>
      <c r="N246" s="15">
        <f t="shared" si="132"/>
        <v>3.6666666666666674E-2</v>
      </c>
      <c r="O246" s="31"/>
      <c r="P246" s="14">
        <v>242</v>
      </c>
      <c r="Q246" s="12">
        <v>41881</v>
      </c>
      <c r="R246" s="15">
        <f t="shared" si="133"/>
        <v>3.4000000000000002E-2</v>
      </c>
      <c r="S246" s="4"/>
      <c r="T246" s="14">
        <v>242</v>
      </c>
      <c r="U246" s="12">
        <v>42246</v>
      </c>
      <c r="V246" s="15">
        <f t="shared" si="134"/>
        <v>3.4000000000000002E-2</v>
      </c>
      <c r="AA246" s="14">
        <v>242</v>
      </c>
      <c r="AB246" s="12">
        <v>41150</v>
      </c>
      <c r="AC246" s="15">
        <f t="shared" si="135"/>
        <v>4.8666666666666664E-2</v>
      </c>
      <c r="AI246" s="60">
        <v>242</v>
      </c>
      <c r="AJ246" s="58">
        <v>41881</v>
      </c>
      <c r="AK246" s="61">
        <f t="shared" si="126"/>
        <v>3.4000000000000002E-2</v>
      </c>
      <c r="AL246" s="58">
        <v>42246</v>
      </c>
      <c r="AM246" s="61">
        <f t="shared" si="127"/>
        <v>3.4000000000000002E-2</v>
      </c>
      <c r="AO246" s="58">
        <v>41881</v>
      </c>
      <c r="AP246" s="61">
        <f t="shared" si="128"/>
        <v>3.9333333333333331E-2</v>
      </c>
      <c r="AQ246" s="58">
        <v>42246</v>
      </c>
      <c r="AR246" s="61">
        <f t="shared" si="129"/>
        <v>3.1333333333333331E-2</v>
      </c>
    </row>
    <row r="247" spans="4:44">
      <c r="D247" s="14">
        <v>243</v>
      </c>
      <c r="E247" s="12">
        <v>41517</v>
      </c>
      <c r="F247" s="15">
        <f t="shared" si="130"/>
        <v>4.5999999999999999E-2</v>
      </c>
      <c r="H247" s="14">
        <v>243</v>
      </c>
      <c r="I247" s="12">
        <v>41882</v>
      </c>
      <c r="J247" s="15">
        <f t="shared" si="131"/>
        <v>4.3333333333333328E-2</v>
      </c>
      <c r="K247" s="4"/>
      <c r="L247" s="14">
        <v>243</v>
      </c>
      <c r="M247" s="12">
        <v>42247</v>
      </c>
      <c r="N247" s="15">
        <f t="shared" si="132"/>
        <v>3.6666666666666674E-2</v>
      </c>
      <c r="O247" s="31"/>
      <c r="P247" s="14">
        <v>243</v>
      </c>
      <c r="Q247" s="12">
        <v>41882</v>
      </c>
      <c r="R247" s="15">
        <f t="shared" si="133"/>
        <v>3.4000000000000002E-2</v>
      </c>
      <c r="S247" s="4"/>
      <c r="T247" s="14">
        <v>243</v>
      </c>
      <c r="U247" s="12">
        <v>42247</v>
      </c>
      <c r="V247" s="15">
        <f t="shared" si="134"/>
        <v>3.4000000000000002E-2</v>
      </c>
      <c r="AA247" s="14">
        <v>243</v>
      </c>
      <c r="AB247" s="12">
        <v>41151</v>
      </c>
      <c r="AC247" s="15">
        <f t="shared" si="135"/>
        <v>4.8666666666666664E-2</v>
      </c>
      <c r="AI247" s="60">
        <v>243</v>
      </c>
      <c r="AJ247" s="58">
        <v>41882</v>
      </c>
      <c r="AK247" s="61">
        <f t="shared" si="126"/>
        <v>3.4000000000000002E-2</v>
      </c>
      <c r="AL247" s="58">
        <v>42247</v>
      </c>
      <c r="AM247" s="61">
        <f t="shared" si="127"/>
        <v>3.4000000000000002E-2</v>
      </c>
      <c r="AO247" s="58">
        <v>41882</v>
      </c>
      <c r="AP247" s="61">
        <f t="shared" si="128"/>
        <v>3.9333333333333331E-2</v>
      </c>
      <c r="AQ247" s="58">
        <v>42247</v>
      </c>
      <c r="AR247" s="61">
        <f t="shared" si="129"/>
        <v>3.1333333333333331E-2</v>
      </c>
    </row>
    <row r="248" spans="4:44">
      <c r="D248" s="14">
        <v>244</v>
      </c>
      <c r="E248" s="12">
        <v>41518</v>
      </c>
      <c r="F248" s="29">
        <f t="shared" ref="F248:F267" si="136">F$217+F$4/D$4/100</f>
        <v>4.8875000000000002E-2</v>
      </c>
      <c r="H248" s="14">
        <v>244</v>
      </c>
      <c r="I248" s="12">
        <v>41883</v>
      </c>
      <c r="J248" s="29">
        <f t="shared" ref="J248:J267" si="137">J$217+J$4/H$4/100</f>
        <v>4.6041666666666661E-2</v>
      </c>
      <c r="K248" s="4"/>
      <c r="L248" s="14">
        <v>244</v>
      </c>
      <c r="M248" s="12">
        <v>42248</v>
      </c>
      <c r="N248" s="29">
        <f t="shared" ref="N248:N267" si="138">N$217+N$4/L$4/100</f>
        <v>3.8958333333333345E-2</v>
      </c>
      <c r="O248" s="31"/>
      <c r="P248" s="14">
        <v>244</v>
      </c>
      <c r="Q248" s="12">
        <v>41883</v>
      </c>
      <c r="R248" s="29">
        <f t="shared" ref="R248:R267" si="139">R$217+R$4/P$4/100</f>
        <v>3.6125000000000004E-2</v>
      </c>
      <c r="S248" s="4"/>
      <c r="T248" s="14">
        <v>244</v>
      </c>
      <c r="U248" s="12">
        <v>42248</v>
      </c>
      <c r="V248" s="29">
        <f t="shared" ref="V248:V267" si="140">V$217+V$4/T$4/100</f>
        <v>3.6125000000000004E-2</v>
      </c>
      <c r="AA248" s="30">
        <v>244</v>
      </c>
      <c r="AB248" s="12">
        <v>41152</v>
      </c>
      <c r="AC248" s="15">
        <f t="shared" si="135"/>
        <v>4.8666666666666664E-2</v>
      </c>
      <c r="AI248" s="60">
        <v>244</v>
      </c>
      <c r="AJ248" s="63">
        <v>41883</v>
      </c>
      <c r="AK248" s="61">
        <f t="shared" si="126"/>
        <v>3.4000000000000002E-2</v>
      </c>
      <c r="AL248" s="58">
        <v>42248</v>
      </c>
      <c r="AM248" s="61">
        <f t="shared" si="127"/>
        <v>3.4000000000000002E-2</v>
      </c>
      <c r="AO248" s="63">
        <v>41883</v>
      </c>
      <c r="AP248" s="61">
        <f t="shared" si="128"/>
        <v>3.9333333333333331E-2</v>
      </c>
      <c r="AQ248" s="58">
        <v>42248</v>
      </c>
      <c r="AR248" s="61">
        <f t="shared" si="129"/>
        <v>3.1333333333333331E-2</v>
      </c>
    </row>
    <row r="249" spans="4:44">
      <c r="D249" s="14">
        <v>245</v>
      </c>
      <c r="E249" s="12">
        <v>41519</v>
      </c>
      <c r="F249" s="15">
        <f t="shared" si="136"/>
        <v>4.8875000000000002E-2</v>
      </c>
      <c r="H249" s="14">
        <v>245</v>
      </c>
      <c r="I249" s="12">
        <v>41884</v>
      </c>
      <c r="J249" s="15">
        <f t="shared" si="137"/>
        <v>4.6041666666666661E-2</v>
      </c>
      <c r="K249" s="4"/>
      <c r="L249" s="14">
        <v>245</v>
      </c>
      <c r="M249" s="12">
        <v>42249</v>
      </c>
      <c r="N249" s="15">
        <f t="shared" si="138"/>
        <v>3.8958333333333345E-2</v>
      </c>
      <c r="O249" s="31"/>
      <c r="P249" s="14">
        <v>245</v>
      </c>
      <c r="Q249" s="12">
        <v>41884</v>
      </c>
      <c r="R249" s="15">
        <f t="shared" si="139"/>
        <v>3.6125000000000004E-2</v>
      </c>
      <c r="S249" s="4"/>
      <c r="T249" s="14">
        <v>245</v>
      </c>
      <c r="U249" s="12">
        <v>42249</v>
      </c>
      <c r="V249" s="15">
        <f t="shared" si="140"/>
        <v>3.6125000000000004E-2</v>
      </c>
      <c r="AA249" s="30">
        <v>245</v>
      </c>
      <c r="AB249" s="28">
        <v>41153</v>
      </c>
      <c r="AC249" s="29">
        <f t="shared" ref="AC249:AC268" si="141">AC$218+AC$4/AA$4/100</f>
        <v>5.1708333333333328E-2</v>
      </c>
      <c r="AI249" s="60">
        <v>245</v>
      </c>
      <c r="AJ249" s="58">
        <v>41884</v>
      </c>
      <c r="AK249" s="61">
        <f t="shared" si="126"/>
        <v>3.4000000000000002E-2</v>
      </c>
      <c r="AL249" s="58">
        <v>42249</v>
      </c>
      <c r="AM249" s="61">
        <f t="shared" si="127"/>
        <v>3.4000000000000002E-2</v>
      </c>
      <c r="AO249" s="58">
        <v>41884</v>
      </c>
      <c r="AP249" s="61">
        <f t="shared" si="128"/>
        <v>3.9333333333333331E-2</v>
      </c>
      <c r="AQ249" s="58">
        <v>42249</v>
      </c>
      <c r="AR249" s="61">
        <f t="shared" si="129"/>
        <v>3.1333333333333331E-2</v>
      </c>
    </row>
    <row r="250" spans="4:44">
      <c r="D250" s="14">
        <v>246</v>
      </c>
      <c r="E250" s="12">
        <v>41520</v>
      </c>
      <c r="F250" s="15">
        <f t="shared" si="136"/>
        <v>4.8875000000000002E-2</v>
      </c>
      <c r="H250" s="14">
        <v>246</v>
      </c>
      <c r="I250" s="12">
        <v>41885</v>
      </c>
      <c r="J250" s="15">
        <f t="shared" si="137"/>
        <v>4.6041666666666661E-2</v>
      </c>
      <c r="K250" s="4"/>
      <c r="L250" s="14">
        <v>246</v>
      </c>
      <c r="M250" s="12">
        <v>42250</v>
      </c>
      <c r="N250" s="15">
        <f t="shared" si="138"/>
        <v>3.8958333333333345E-2</v>
      </c>
      <c r="O250" s="31"/>
      <c r="P250" s="14">
        <v>246</v>
      </c>
      <c r="Q250" s="12">
        <v>41885</v>
      </c>
      <c r="R250" s="15">
        <f t="shared" si="139"/>
        <v>3.6125000000000004E-2</v>
      </c>
      <c r="S250" s="4"/>
      <c r="T250" s="14">
        <v>246</v>
      </c>
      <c r="U250" s="12">
        <v>42250</v>
      </c>
      <c r="V250" s="15">
        <f t="shared" si="140"/>
        <v>3.6125000000000004E-2</v>
      </c>
      <c r="AA250" s="14">
        <v>246</v>
      </c>
      <c r="AB250" s="12">
        <v>41154</v>
      </c>
      <c r="AC250" s="15">
        <f t="shared" si="141"/>
        <v>5.1708333333333328E-2</v>
      </c>
      <c r="AI250" s="60">
        <v>246</v>
      </c>
      <c r="AJ250" s="58">
        <v>41885</v>
      </c>
      <c r="AK250" s="61">
        <f t="shared" si="126"/>
        <v>3.4000000000000002E-2</v>
      </c>
      <c r="AL250" s="58">
        <v>42250</v>
      </c>
      <c r="AM250" s="61">
        <f t="shared" si="127"/>
        <v>3.4000000000000002E-2</v>
      </c>
      <c r="AO250" s="58">
        <v>41885</v>
      </c>
      <c r="AP250" s="61">
        <f t="shared" si="128"/>
        <v>3.9333333333333331E-2</v>
      </c>
      <c r="AQ250" s="58">
        <v>42250</v>
      </c>
      <c r="AR250" s="61">
        <f t="shared" si="129"/>
        <v>3.1333333333333331E-2</v>
      </c>
    </row>
    <row r="251" spans="4:44">
      <c r="D251" s="14">
        <v>247</v>
      </c>
      <c r="E251" s="12">
        <v>41521</v>
      </c>
      <c r="F251" s="15">
        <f t="shared" si="136"/>
        <v>4.8875000000000002E-2</v>
      </c>
      <c r="H251" s="14">
        <v>247</v>
      </c>
      <c r="I251" s="12">
        <v>41886</v>
      </c>
      <c r="J251" s="15">
        <f t="shared" si="137"/>
        <v>4.6041666666666661E-2</v>
      </c>
      <c r="K251" s="4"/>
      <c r="L251" s="14">
        <v>247</v>
      </c>
      <c r="M251" s="12">
        <v>42251</v>
      </c>
      <c r="N251" s="15">
        <f t="shared" si="138"/>
        <v>3.8958333333333345E-2</v>
      </c>
      <c r="O251" s="31"/>
      <c r="P251" s="14">
        <v>247</v>
      </c>
      <c r="Q251" s="12">
        <v>41886</v>
      </c>
      <c r="R251" s="15">
        <f t="shared" si="139"/>
        <v>3.6125000000000004E-2</v>
      </c>
      <c r="S251" s="4"/>
      <c r="T251" s="14">
        <v>247</v>
      </c>
      <c r="U251" s="12">
        <v>42251</v>
      </c>
      <c r="V251" s="15">
        <f t="shared" si="140"/>
        <v>3.6125000000000004E-2</v>
      </c>
      <c r="AA251" s="14">
        <v>247</v>
      </c>
      <c r="AB251" s="12">
        <v>41155</v>
      </c>
      <c r="AC251" s="15">
        <f t="shared" si="141"/>
        <v>5.1708333333333328E-2</v>
      </c>
      <c r="AI251" s="60">
        <v>247</v>
      </c>
      <c r="AJ251" s="58">
        <v>41886</v>
      </c>
      <c r="AK251" s="61">
        <f t="shared" si="126"/>
        <v>3.4000000000000002E-2</v>
      </c>
      <c r="AL251" s="58">
        <v>42251</v>
      </c>
      <c r="AM251" s="61">
        <f t="shared" si="127"/>
        <v>3.4000000000000002E-2</v>
      </c>
      <c r="AO251" s="58">
        <v>41886</v>
      </c>
      <c r="AP251" s="61">
        <f t="shared" si="128"/>
        <v>3.9333333333333331E-2</v>
      </c>
      <c r="AQ251" s="58">
        <v>42251</v>
      </c>
      <c r="AR251" s="61">
        <f t="shared" si="129"/>
        <v>3.1333333333333331E-2</v>
      </c>
    </row>
    <row r="252" spans="4:44">
      <c r="D252" s="14">
        <v>248</v>
      </c>
      <c r="E252" s="12">
        <v>41522</v>
      </c>
      <c r="F252" s="15">
        <f t="shared" si="136"/>
        <v>4.8875000000000002E-2</v>
      </c>
      <c r="H252" s="14">
        <v>248</v>
      </c>
      <c r="I252" s="12">
        <v>41887</v>
      </c>
      <c r="J252" s="15">
        <f t="shared" si="137"/>
        <v>4.6041666666666661E-2</v>
      </c>
      <c r="K252" s="4"/>
      <c r="L252" s="14">
        <v>248</v>
      </c>
      <c r="M252" s="12">
        <v>42252</v>
      </c>
      <c r="N252" s="15">
        <f t="shared" si="138"/>
        <v>3.8958333333333345E-2</v>
      </c>
      <c r="O252" s="31"/>
      <c r="P252" s="14">
        <v>248</v>
      </c>
      <c r="Q252" s="12">
        <v>41887</v>
      </c>
      <c r="R252" s="15">
        <f t="shared" si="139"/>
        <v>3.6125000000000004E-2</v>
      </c>
      <c r="S252" s="4"/>
      <c r="T252" s="14">
        <v>248</v>
      </c>
      <c r="U252" s="12">
        <v>42252</v>
      </c>
      <c r="V252" s="15">
        <f t="shared" si="140"/>
        <v>3.6125000000000004E-2</v>
      </c>
      <c r="AA252" s="14">
        <v>248</v>
      </c>
      <c r="AB252" s="12">
        <v>41156</v>
      </c>
      <c r="AC252" s="15">
        <f t="shared" si="141"/>
        <v>5.1708333333333328E-2</v>
      </c>
      <c r="AI252" s="60">
        <v>248</v>
      </c>
      <c r="AJ252" s="58">
        <v>41887</v>
      </c>
      <c r="AK252" s="61">
        <f t="shared" si="126"/>
        <v>3.4000000000000002E-2</v>
      </c>
      <c r="AL252" s="58">
        <v>42252</v>
      </c>
      <c r="AM252" s="61">
        <f t="shared" si="127"/>
        <v>3.4000000000000002E-2</v>
      </c>
      <c r="AO252" s="58">
        <v>41887</v>
      </c>
      <c r="AP252" s="61">
        <f t="shared" si="128"/>
        <v>3.9333333333333331E-2</v>
      </c>
      <c r="AQ252" s="58">
        <v>42252</v>
      </c>
      <c r="AR252" s="61">
        <f t="shared" si="129"/>
        <v>3.1333333333333331E-2</v>
      </c>
    </row>
    <row r="253" spans="4:44">
      <c r="D253" s="14">
        <v>249</v>
      </c>
      <c r="E253" s="12">
        <v>41523</v>
      </c>
      <c r="F253" s="15">
        <f t="shared" si="136"/>
        <v>4.8875000000000002E-2</v>
      </c>
      <c r="H253" s="14">
        <v>249</v>
      </c>
      <c r="I253" s="12">
        <v>41888</v>
      </c>
      <c r="J253" s="15">
        <f t="shared" si="137"/>
        <v>4.6041666666666661E-2</v>
      </c>
      <c r="K253" s="4"/>
      <c r="L253" s="14">
        <v>249</v>
      </c>
      <c r="M253" s="12">
        <v>42253</v>
      </c>
      <c r="N253" s="15">
        <f t="shared" si="138"/>
        <v>3.8958333333333345E-2</v>
      </c>
      <c r="O253" s="31"/>
      <c r="P253" s="14">
        <v>249</v>
      </c>
      <c r="Q253" s="12">
        <v>41888</v>
      </c>
      <c r="R253" s="15">
        <f t="shared" si="139"/>
        <v>3.6125000000000004E-2</v>
      </c>
      <c r="S253" s="4"/>
      <c r="T253" s="14">
        <v>249</v>
      </c>
      <c r="U253" s="12">
        <v>42253</v>
      </c>
      <c r="V253" s="15">
        <f t="shared" si="140"/>
        <v>3.6125000000000004E-2</v>
      </c>
      <c r="AA253" s="14">
        <v>249</v>
      </c>
      <c r="AB253" s="12">
        <v>41157</v>
      </c>
      <c r="AC253" s="15">
        <f t="shared" si="141"/>
        <v>5.1708333333333328E-2</v>
      </c>
      <c r="AI253" s="60">
        <v>249</v>
      </c>
      <c r="AJ253" s="58">
        <v>41888</v>
      </c>
      <c r="AK253" s="64">
        <f t="shared" ref="AK253:AK282" si="142">AK$252+AK$4/AI$4/100</f>
        <v>3.8250000000000006E-2</v>
      </c>
      <c r="AL253" s="58">
        <v>42253</v>
      </c>
      <c r="AM253" s="64">
        <f t="shared" ref="AM253:AM282" si="143">AM$252+AM$4/AI$4/100</f>
        <v>3.8250000000000006E-2</v>
      </c>
      <c r="AO253" s="58">
        <v>41888</v>
      </c>
      <c r="AP253" s="64">
        <f t="shared" ref="AP253:AP282" si="144">AP$252+AP$4/AI$4/100</f>
        <v>4.4249999999999998E-2</v>
      </c>
      <c r="AQ253" s="58">
        <v>42253</v>
      </c>
      <c r="AR253" s="64">
        <f t="shared" ref="AR253:AR282" si="145">AR$252+AR$4/AI$4/100</f>
        <v>3.5249999999999997E-2</v>
      </c>
    </row>
    <row r="254" spans="4:44">
      <c r="D254" s="14">
        <v>250</v>
      </c>
      <c r="E254" s="12">
        <v>41524</v>
      </c>
      <c r="F254" s="15">
        <f t="shared" si="136"/>
        <v>4.8875000000000002E-2</v>
      </c>
      <c r="H254" s="14">
        <v>250</v>
      </c>
      <c r="I254" s="12">
        <v>41889</v>
      </c>
      <c r="J254" s="15">
        <f t="shared" si="137"/>
        <v>4.6041666666666661E-2</v>
      </c>
      <c r="K254" s="4"/>
      <c r="L254" s="14">
        <v>250</v>
      </c>
      <c r="M254" s="12">
        <v>42254</v>
      </c>
      <c r="N254" s="15">
        <f t="shared" si="138"/>
        <v>3.8958333333333345E-2</v>
      </c>
      <c r="O254" s="31"/>
      <c r="P254" s="14">
        <v>250</v>
      </c>
      <c r="Q254" s="12">
        <v>41889</v>
      </c>
      <c r="R254" s="15">
        <f t="shared" si="139"/>
        <v>3.6125000000000004E-2</v>
      </c>
      <c r="S254" s="4"/>
      <c r="T254" s="14">
        <v>250</v>
      </c>
      <c r="U254" s="12">
        <v>42254</v>
      </c>
      <c r="V254" s="15">
        <f t="shared" si="140"/>
        <v>3.6125000000000004E-2</v>
      </c>
      <c r="AA254" s="14">
        <v>250</v>
      </c>
      <c r="AB254" s="12">
        <v>41158</v>
      </c>
      <c r="AC254" s="15">
        <f t="shared" si="141"/>
        <v>5.1708333333333328E-2</v>
      </c>
      <c r="AI254" s="60">
        <v>250</v>
      </c>
      <c r="AJ254" s="58">
        <v>41889</v>
      </c>
      <c r="AK254" s="61">
        <f t="shared" si="142"/>
        <v>3.8250000000000006E-2</v>
      </c>
      <c r="AL254" s="58">
        <v>42254</v>
      </c>
      <c r="AM254" s="61">
        <f t="shared" si="143"/>
        <v>3.8250000000000006E-2</v>
      </c>
      <c r="AO254" s="58">
        <v>41889</v>
      </c>
      <c r="AP254" s="61">
        <f t="shared" si="144"/>
        <v>4.4249999999999998E-2</v>
      </c>
      <c r="AQ254" s="58">
        <v>42254</v>
      </c>
      <c r="AR254" s="61">
        <f t="shared" si="145"/>
        <v>3.5249999999999997E-2</v>
      </c>
    </row>
    <row r="255" spans="4:44">
      <c r="D255" s="14">
        <v>251</v>
      </c>
      <c r="E255" s="12">
        <v>41525</v>
      </c>
      <c r="F255" s="15">
        <f t="shared" si="136"/>
        <v>4.8875000000000002E-2</v>
      </c>
      <c r="H255" s="14">
        <v>251</v>
      </c>
      <c r="I255" s="12">
        <v>41890</v>
      </c>
      <c r="J255" s="15">
        <f t="shared" si="137"/>
        <v>4.6041666666666661E-2</v>
      </c>
      <c r="K255" s="4"/>
      <c r="L255" s="14">
        <v>251</v>
      </c>
      <c r="M255" s="12">
        <v>42255</v>
      </c>
      <c r="N255" s="15">
        <f t="shared" si="138"/>
        <v>3.8958333333333345E-2</v>
      </c>
      <c r="O255" s="31"/>
      <c r="P255" s="14">
        <v>251</v>
      </c>
      <c r="Q255" s="12">
        <v>41890</v>
      </c>
      <c r="R255" s="15">
        <f t="shared" si="139"/>
        <v>3.6125000000000004E-2</v>
      </c>
      <c r="S255" s="4"/>
      <c r="T255" s="14">
        <v>251</v>
      </c>
      <c r="U255" s="12">
        <v>42255</v>
      </c>
      <c r="V255" s="15">
        <f t="shared" si="140"/>
        <v>3.6125000000000004E-2</v>
      </c>
      <c r="AA255" s="14">
        <v>251</v>
      </c>
      <c r="AB255" s="12">
        <v>41159</v>
      </c>
      <c r="AC255" s="15">
        <f t="shared" si="141"/>
        <v>5.1708333333333328E-2</v>
      </c>
      <c r="AI255" s="60">
        <v>251</v>
      </c>
      <c r="AJ255" s="58">
        <v>41890</v>
      </c>
      <c r="AK255" s="61">
        <f t="shared" si="142"/>
        <v>3.8250000000000006E-2</v>
      </c>
      <c r="AL255" s="58">
        <v>42255</v>
      </c>
      <c r="AM255" s="61">
        <f t="shared" si="143"/>
        <v>3.8250000000000006E-2</v>
      </c>
      <c r="AO255" s="58">
        <v>41890</v>
      </c>
      <c r="AP255" s="61">
        <f t="shared" si="144"/>
        <v>4.4249999999999998E-2</v>
      </c>
      <c r="AQ255" s="58">
        <v>42255</v>
      </c>
      <c r="AR255" s="61">
        <f t="shared" si="145"/>
        <v>3.5249999999999997E-2</v>
      </c>
    </row>
    <row r="256" spans="4:44">
      <c r="D256" s="14">
        <v>252</v>
      </c>
      <c r="E256" s="12">
        <v>41526</v>
      </c>
      <c r="F256" s="15">
        <f t="shared" si="136"/>
        <v>4.8875000000000002E-2</v>
      </c>
      <c r="H256" s="14">
        <v>252</v>
      </c>
      <c r="I256" s="12">
        <v>41891</v>
      </c>
      <c r="J256" s="15">
        <f t="shared" si="137"/>
        <v>4.6041666666666661E-2</v>
      </c>
      <c r="K256" s="4"/>
      <c r="L256" s="14">
        <v>252</v>
      </c>
      <c r="M256" s="12">
        <v>42256</v>
      </c>
      <c r="N256" s="15">
        <f t="shared" si="138"/>
        <v>3.8958333333333345E-2</v>
      </c>
      <c r="O256" s="31"/>
      <c r="P256" s="14">
        <v>252</v>
      </c>
      <c r="Q256" s="12">
        <v>41891</v>
      </c>
      <c r="R256" s="15">
        <f t="shared" si="139"/>
        <v>3.6125000000000004E-2</v>
      </c>
      <c r="S256" s="4"/>
      <c r="T256" s="14">
        <v>252</v>
      </c>
      <c r="U256" s="12">
        <v>42256</v>
      </c>
      <c r="V256" s="15">
        <f t="shared" si="140"/>
        <v>3.6125000000000004E-2</v>
      </c>
      <c r="AA256" s="14">
        <v>252</v>
      </c>
      <c r="AB256" s="12">
        <v>41160</v>
      </c>
      <c r="AC256" s="15">
        <f t="shared" si="141"/>
        <v>5.1708333333333328E-2</v>
      </c>
      <c r="AI256" s="60">
        <v>252</v>
      </c>
      <c r="AJ256" s="58">
        <v>41891</v>
      </c>
      <c r="AK256" s="61">
        <f t="shared" si="142"/>
        <v>3.8250000000000006E-2</v>
      </c>
      <c r="AL256" s="58">
        <v>42256</v>
      </c>
      <c r="AM256" s="61">
        <f t="shared" si="143"/>
        <v>3.8250000000000006E-2</v>
      </c>
      <c r="AO256" s="58">
        <v>41891</v>
      </c>
      <c r="AP256" s="61">
        <f t="shared" si="144"/>
        <v>4.4249999999999998E-2</v>
      </c>
      <c r="AQ256" s="58">
        <v>42256</v>
      </c>
      <c r="AR256" s="61">
        <f t="shared" si="145"/>
        <v>3.5249999999999997E-2</v>
      </c>
    </row>
    <row r="257" spans="4:44">
      <c r="D257" s="14">
        <v>253</v>
      </c>
      <c r="E257" s="12">
        <v>41527</v>
      </c>
      <c r="F257" s="15">
        <f t="shared" si="136"/>
        <v>4.8875000000000002E-2</v>
      </c>
      <c r="H257" s="14">
        <v>253</v>
      </c>
      <c r="I257" s="12">
        <v>41892</v>
      </c>
      <c r="J257" s="15">
        <f t="shared" si="137"/>
        <v>4.6041666666666661E-2</v>
      </c>
      <c r="K257" s="4"/>
      <c r="L257" s="14">
        <v>253</v>
      </c>
      <c r="M257" s="12">
        <v>42257</v>
      </c>
      <c r="N257" s="15">
        <f t="shared" si="138"/>
        <v>3.8958333333333345E-2</v>
      </c>
      <c r="O257" s="31"/>
      <c r="P257" s="14">
        <v>253</v>
      </c>
      <c r="Q257" s="12">
        <v>41892</v>
      </c>
      <c r="R257" s="15">
        <f t="shared" si="139"/>
        <v>3.6125000000000004E-2</v>
      </c>
      <c r="S257" s="4"/>
      <c r="T257" s="14">
        <v>253</v>
      </c>
      <c r="U257" s="12">
        <v>42257</v>
      </c>
      <c r="V257" s="15">
        <f t="shared" si="140"/>
        <v>3.6125000000000004E-2</v>
      </c>
      <c r="AA257" s="14">
        <v>253</v>
      </c>
      <c r="AB257" s="12">
        <v>41161</v>
      </c>
      <c r="AC257" s="15">
        <f t="shared" si="141"/>
        <v>5.1708333333333328E-2</v>
      </c>
      <c r="AI257" s="60">
        <v>253</v>
      </c>
      <c r="AJ257" s="58">
        <v>41892</v>
      </c>
      <c r="AK257" s="61">
        <f t="shared" si="142"/>
        <v>3.8250000000000006E-2</v>
      </c>
      <c r="AL257" s="58">
        <v>42257</v>
      </c>
      <c r="AM257" s="61">
        <f t="shared" si="143"/>
        <v>3.8250000000000006E-2</v>
      </c>
      <c r="AO257" s="58">
        <v>41892</v>
      </c>
      <c r="AP257" s="61">
        <f t="shared" si="144"/>
        <v>4.4249999999999998E-2</v>
      </c>
      <c r="AQ257" s="58">
        <v>42257</v>
      </c>
      <c r="AR257" s="61">
        <f t="shared" si="145"/>
        <v>3.5249999999999997E-2</v>
      </c>
    </row>
    <row r="258" spans="4:44">
      <c r="D258" s="14">
        <v>254</v>
      </c>
      <c r="E258" s="12">
        <v>41528</v>
      </c>
      <c r="F258" s="15">
        <f t="shared" si="136"/>
        <v>4.8875000000000002E-2</v>
      </c>
      <c r="H258" s="14">
        <v>254</v>
      </c>
      <c r="I258" s="12">
        <v>41893</v>
      </c>
      <c r="J258" s="15">
        <f t="shared" si="137"/>
        <v>4.6041666666666661E-2</v>
      </c>
      <c r="K258" s="4"/>
      <c r="L258" s="14">
        <v>254</v>
      </c>
      <c r="M258" s="12">
        <v>42258</v>
      </c>
      <c r="N258" s="15">
        <f t="shared" si="138"/>
        <v>3.8958333333333345E-2</v>
      </c>
      <c r="O258" s="31"/>
      <c r="P258" s="14">
        <v>254</v>
      </c>
      <c r="Q258" s="12">
        <v>41893</v>
      </c>
      <c r="R258" s="15">
        <f t="shared" si="139"/>
        <v>3.6125000000000004E-2</v>
      </c>
      <c r="S258" s="4"/>
      <c r="T258" s="14">
        <v>254</v>
      </c>
      <c r="U258" s="12">
        <v>42258</v>
      </c>
      <c r="V258" s="15">
        <f t="shared" si="140"/>
        <v>3.6125000000000004E-2</v>
      </c>
      <c r="AA258" s="14">
        <v>254</v>
      </c>
      <c r="AB258" s="12">
        <v>41162</v>
      </c>
      <c r="AC258" s="15">
        <f t="shared" si="141"/>
        <v>5.1708333333333328E-2</v>
      </c>
      <c r="AI258" s="60">
        <v>254</v>
      </c>
      <c r="AJ258" s="58">
        <v>41893</v>
      </c>
      <c r="AK258" s="61">
        <f t="shared" si="142"/>
        <v>3.8250000000000006E-2</v>
      </c>
      <c r="AL258" s="58">
        <v>42258</v>
      </c>
      <c r="AM258" s="61">
        <f t="shared" si="143"/>
        <v>3.8250000000000006E-2</v>
      </c>
      <c r="AO258" s="58">
        <v>41893</v>
      </c>
      <c r="AP258" s="61">
        <f t="shared" si="144"/>
        <v>4.4249999999999998E-2</v>
      </c>
      <c r="AQ258" s="58">
        <v>42258</v>
      </c>
      <c r="AR258" s="61">
        <f t="shared" si="145"/>
        <v>3.5249999999999997E-2</v>
      </c>
    </row>
    <row r="259" spans="4:44">
      <c r="D259" s="14">
        <v>255</v>
      </c>
      <c r="E259" s="12">
        <v>41529</v>
      </c>
      <c r="F259" s="15">
        <f t="shared" si="136"/>
        <v>4.8875000000000002E-2</v>
      </c>
      <c r="H259" s="14">
        <v>255</v>
      </c>
      <c r="I259" s="12">
        <v>41894</v>
      </c>
      <c r="J259" s="15">
        <f t="shared" si="137"/>
        <v>4.6041666666666661E-2</v>
      </c>
      <c r="K259" s="4"/>
      <c r="L259" s="14">
        <v>255</v>
      </c>
      <c r="M259" s="12">
        <v>42259</v>
      </c>
      <c r="N259" s="15">
        <f t="shared" si="138"/>
        <v>3.8958333333333345E-2</v>
      </c>
      <c r="O259" s="31"/>
      <c r="P259" s="14">
        <v>255</v>
      </c>
      <c r="Q259" s="12">
        <v>41894</v>
      </c>
      <c r="R259" s="15">
        <f t="shared" si="139"/>
        <v>3.6125000000000004E-2</v>
      </c>
      <c r="S259" s="4"/>
      <c r="T259" s="14">
        <v>255</v>
      </c>
      <c r="U259" s="12">
        <v>42259</v>
      </c>
      <c r="V259" s="15">
        <f t="shared" si="140"/>
        <v>3.6125000000000004E-2</v>
      </c>
      <c r="AA259" s="14">
        <v>255</v>
      </c>
      <c r="AB259" s="12">
        <v>41163</v>
      </c>
      <c r="AC259" s="15">
        <f t="shared" si="141"/>
        <v>5.1708333333333328E-2</v>
      </c>
      <c r="AI259" s="60">
        <v>255</v>
      </c>
      <c r="AJ259" s="58">
        <v>41894</v>
      </c>
      <c r="AK259" s="61">
        <f t="shared" si="142"/>
        <v>3.8250000000000006E-2</v>
      </c>
      <c r="AL259" s="58">
        <v>42259</v>
      </c>
      <c r="AM259" s="61">
        <f t="shared" si="143"/>
        <v>3.8250000000000006E-2</v>
      </c>
      <c r="AO259" s="58">
        <v>41894</v>
      </c>
      <c r="AP259" s="61">
        <f t="shared" si="144"/>
        <v>4.4249999999999998E-2</v>
      </c>
      <c r="AQ259" s="58">
        <v>42259</v>
      </c>
      <c r="AR259" s="61">
        <f t="shared" si="145"/>
        <v>3.5249999999999997E-2</v>
      </c>
    </row>
    <row r="260" spans="4:44">
      <c r="D260" s="14">
        <v>256</v>
      </c>
      <c r="E260" s="12">
        <v>41530</v>
      </c>
      <c r="F260" s="15">
        <f t="shared" si="136"/>
        <v>4.8875000000000002E-2</v>
      </c>
      <c r="H260" s="14">
        <v>256</v>
      </c>
      <c r="I260" s="12">
        <v>41895</v>
      </c>
      <c r="J260" s="15">
        <f t="shared" si="137"/>
        <v>4.6041666666666661E-2</v>
      </c>
      <c r="K260" s="4"/>
      <c r="L260" s="14">
        <v>256</v>
      </c>
      <c r="M260" s="12">
        <v>42260</v>
      </c>
      <c r="N260" s="15">
        <f t="shared" si="138"/>
        <v>3.8958333333333345E-2</v>
      </c>
      <c r="O260" s="31"/>
      <c r="P260" s="14">
        <v>256</v>
      </c>
      <c r="Q260" s="12">
        <v>41895</v>
      </c>
      <c r="R260" s="15">
        <f t="shared" si="139"/>
        <v>3.6125000000000004E-2</v>
      </c>
      <c r="S260" s="4"/>
      <c r="T260" s="14">
        <v>256</v>
      </c>
      <c r="U260" s="12">
        <v>42260</v>
      </c>
      <c r="V260" s="15">
        <f t="shared" si="140"/>
        <v>3.6125000000000004E-2</v>
      </c>
      <c r="AA260" s="14">
        <v>256</v>
      </c>
      <c r="AB260" s="12">
        <v>41164</v>
      </c>
      <c r="AC260" s="15">
        <f t="shared" si="141"/>
        <v>5.1708333333333328E-2</v>
      </c>
      <c r="AI260" s="60">
        <v>256</v>
      </c>
      <c r="AJ260" s="58">
        <v>41895</v>
      </c>
      <c r="AK260" s="61">
        <f t="shared" si="142"/>
        <v>3.8250000000000006E-2</v>
      </c>
      <c r="AL260" s="58">
        <v>42260</v>
      </c>
      <c r="AM260" s="61">
        <f t="shared" si="143"/>
        <v>3.8250000000000006E-2</v>
      </c>
      <c r="AO260" s="58">
        <v>41895</v>
      </c>
      <c r="AP260" s="61">
        <f t="shared" si="144"/>
        <v>4.4249999999999998E-2</v>
      </c>
      <c r="AQ260" s="58">
        <v>42260</v>
      </c>
      <c r="AR260" s="61">
        <f t="shared" si="145"/>
        <v>3.5249999999999997E-2</v>
      </c>
    </row>
    <row r="261" spans="4:44">
      <c r="D261" s="14">
        <v>257</v>
      </c>
      <c r="E261" s="12">
        <v>41531</v>
      </c>
      <c r="F261" s="15">
        <f t="shared" si="136"/>
        <v>4.8875000000000002E-2</v>
      </c>
      <c r="H261" s="14">
        <v>257</v>
      </c>
      <c r="I261" s="12">
        <v>41896</v>
      </c>
      <c r="J261" s="15">
        <f t="shared" si="137"/>
        <v>4.6041666666666661E-2</v>
      </c>
      <c r="K261" s="4"/>
      <c r="L261" s="14">
        <v>257</v>
      </c>
      <c r="M261" s="12">
        <v>42261</v>
      </c>
      <c r="N261" s="15">
        <f t="shared" si="138"/>
        <v>3.8958333333333345E-2</v>
      </c>
      <c r="O261" s="31"/>
      <c r="P261" s="14">
        <v>257</v>
      </c>
      <c r="Q261" s="12">
        <v>41896</v>
      </c>
      <c r="R261" s="15">
        <f t="shared" si="139"/>
        <v>3.6125000000000004E-2</v>
      </c>
      <c r="S261" s="4"/>
      <c r="T261" s="14">
        <v>257</v>
      </c>
      <c r="U261" s="12">
        <v>42261</v>
      </c>
      <c r="V261" s="15">
        <f t="shared" si="140"/>
        <v>3.6125000000000004E-2</v>
      </c>
      <c r="AA261" s="14">
        <v>257</v>
      </c>
      <c r="AB261" s="12">
        <v>41165</v>
      </c>
      <c r="AC261" s="15">
        <f t="shared" si="141"/>
        <v>5.1708333333333328E-2</v>
      </c>
      <c r="AI261" s="60">
        <v>257</v>
      </c>
      <c r="AJ261" s="58">
        <v>41896</v>
      </c>
      <c r="AK261" s="61">
        <f t="shared" si="142"/>
        <v>3.8250000000000006E-2</v>
      </c>
      <c r="AL261" s="58">
        <v>42261</v>
      </c>
      <c r="AM261" s="61">
        <f t="shared" si="143"/>
        <v>3.8250000000000006E-2</v>
      </c>
      <c r="AO261" s="58">
        <v>41896</v>
      </c>
      <c r="AP261" s="61">
        <f t="shared" si="144"/>
        <v>4.4249999999999998E-2</v>
      </c>
      <c r="AQ261" s="58">
        <v>42261</v>
      </c>
      <c r="AR261" s="61">
        <f t="shared" si="145"/>
        <v>3.5249999999999997E-2</v>
      </c>
    </row>
    <row r="262" spans="4:44">
      <c r="D262" s="14">
        <v>258</v>
      </c>
      <c r="E262" s="12">
        <v>41532</v>
      </c>
      <c r="F262" s="15">
        <f t="shared" si="136"/>
        <v>4.8875000000000002E-2</v>
      </c>
      <c r="H262" s="14">
        <v>258</v>
      </c>
      <c r="I262" s="12">
        <v>41897</v>
      </c>
      <c r="J262" s="15">
        <f t="shared" si="137"/>
        <v>4.6041666666666661E-2</v>
      </c>
      <c r="K262" s="4"/>
      <c r="L262" s="14">
        <v>258</v>
      </c>
      <c r="M262" s="12">
        <v>42262</v>
      </c>
      <c r="N262" s="15">
        <f t="shared" si="138"/>
        <v>3.8958333333333345E-2</v>
      </c>
      <c r="O262" s="31"/>
      <c r="P262" s="14">
        <v>258</v>
      </c>
      <c r="Q262" s="12">
        <v>41897</v>
      </c>
      <c r="R262" s="15">
        <f t="shared" si="139"/>
        <v>3.6125000000000004E-2</v>
      </c>
      <c r="S262" s="4"/>
      <c r="T262" s="14">
        <v>258</v>
      </c>
      <c r="U262" s="12">
        <v>42262</v>
      </c>
      <c r="V262" s="15">
        <f t="shared" si="140"/>
        <v>3.6125000000000004E-2</v>
      </c>
      <c r="AA262" s="14">
        <v>258</v>
      </c>
      <c r="AB262" s="12">
        <v>41166</v>
      </c>
      <c r="AC262" s="15">
        <f t="shared" si="141"/>
        <v>5.1708333333333328E-2</v>
      </c>
      <c r="AI262" s="60">
        <v>258</v>
      </c>
      <c r="AJ262" s="58">
        <v>41897</v>
      </c>
      <c r="AK262" s="61">
        <f t="shared" si="142"/>
        <v>3.8250000000000006E-2</v>
      </c>
      <c r="AL262" s="58">
        <v>42262</v>
      </c>
      <c r="AM262" s="61">
        <f t="shared" si="143"/>
        <v>3.8250000000000006E-2</v>
      </c>
      <c r="AO262" s="58">
        <v>41897</v>
      </c>
      <c r="AP262" s="61">
        <f t="shared" si="144"/>
        <v>4.4249999999999998E-2</v>
      </c>
      <c r="AQ262" s="58">
        <v>42262</v>
      </c>
      <c r="AR262" s="61">
        <f t="shared" si="145"/>
        <v>3.5249999999999997E-2</v>
      </c>
    </row>
    <row r="263" spans="4:44">
      <c r="D263" s="14">
        <v>259</v>
      </c>
      <c r="E263" s="12">
        <v>41533</v>
      </c>
      <c r="F263" s="15">
        <f t="shared" si="136"/>
        <v>4.8875000000000002E-2</v>
      </c>
      <c r="H263" s="14">
        <v>259</v>
      </c>
      <c r="I263" s="12">
        <v>41898</v>
      </c>
      <c r="J263" s="15">
        <f t="shared" si="137"/>
        <v>4.6041666666666661E-2</v>
      </c>
      <c r="K263" s="4"/>
      <c r="L263" s="14">
        <v>259</v>
      </c>
      <c r="M263" s="12">
        <v>42263</v>
      </c>
      <c r="N263" s="15">
        <f t="shared" si="138"/>
        <v>3.8958333333333345E-2</v>
      </c>
      <c r="O263" s="31"/>
      <c r="P263" s="14">
        <v>259</v>
      </c>
      <c r="Q263" s="12">
        <v>41898</v>
      </c>
      <c r="R263" s="15">
        <f t="shared" si="139"/>
        <v>3.6125000000000004E-2</v>
      </c>
      <c r="S263" s="4"/>
      <c r="T263" s="14">
        <v>259</v>
      </c>
      <c r="U263" s="12">
        <v>42263</v>
      </c>
      <c r="V263" s="15">
        <f t="shared" si="140"/>
        <v>3.6125000000000004E-2</v>
      </c>
      <c r="AA263" s="14">
        <v>259</v>
      </c>
      <c r="AB263" s="12">
        <v>41167</v>
      </c>
      <c r="AC263" s="15">
        <f t="shared" si="141"/>
        <v>5.1708333333333328E-2</v>
      </c>
      <c r="AI263" s="60">
        <v>259</v>
      </c>
      <c r="AJ263" s="58">
        <v>41898</v>
      </c>
      <c r="AK263" s="61">
        <f t="shared" si="142"/>
        <v>3.8250000000000006E-2</v>
      </c>
      <c r="AL263" s="58">
        <v>42263</v>
      </c>
      <c r="AM263" s="61">
        <f t="shared" si="143"/>
        <v>3.8250000000000006E-2</v>
      </c>
      <c r="AO263" s="58">
        <v>41898</v>
      </c>
      <c r="AP263" s="61">
        <f t="shared" si="144"/>
        <v>4.4249999999999998E-2</v>
      </c>
      <c r="AQ263" s="58">
        <v>42263</v>
      </c>
      <c r="AR263" s="61">
        <f t="shared" si="145"/>
        <v>3.5249999999999997E-2</v>
      </c>
    </row>
    <row r="264" spans="4:44">
      <c r="D264" s="14">
        <v>260</v>
      </c>
      <c r="E264" s="12">
        <v>41534</v>
      </c>
      <c r="F264" s="15">
        <f t="shared" si="136"/>
        <v>4.8875000000000002E-2</v>
      </c>
      <c r="H264" s="14">
        <v>260</v>
      </c>
      <c r="I264" s="12">
        <v>41899</v>
      </c>
      <c r="J264" s="15">
        <f t="shared" si="137"/>
        <v>4.6041666666666661E-2</v>
      </c>
      <c r="K264" s="4"/>
      <c r="L264" s="14">
        <v>260</v>
      </c>
      <c r="M264" s="12">
        <v>42264</v>
      </c>
      <c r="N264" s="15">
        <f t="shared" si="138"/>
        <v>3.8958333333333345E-2</v>
      </c>
      <c r="O264" s="31"/>
      <c r="P264" s="14">
        <v>260</v>
      </c>
      <c r="Q264" s="12">
        <v>41899</v>
      </c>
      <c r="R264" s="15">
        <f t="shared" si="139"/>
        <v>3.6125000000000004E-2</v>
      </c>
      <c r="S264" s="4"/>
      <c r="T264" s="14">
        <v>260</v>
      </c>
      <c r="U264" s="12">
        <v>42264</v>
      </c>
      <c r="V264" s="15">
        <f t="shared" si="140"/>
        <v>3.6125000000000004E-2</v>
      </c>
      <c r="AA264" s="14">
        <v>260</v>
      </c>
      <c r="AB264" s="12">
        <v>41168</v>
      </c>
      <c r="AC264" s="15">
        <f t="shared" si="141"/>
        <v>5.1708333333333328E-2</v>
      </c>
      <c r="AI264" s="60">
        <v>260</v>
      </c>
      <c r="AJ264" s="58">
        <v>41899</v>
      </c>
      <c r="AK264" s="61">
        <f t="shared" si="142"/>
        <v>3.8250000000000006E-2</v>
      </c>
      <c r="AL264" s="58">
        <v>42264</v>
      </c>
      <c r="AM264" s="61">
        <f t="shared" si="143"/>
        <v>3.8250000000000006E-2</v>
      </c>
      <c r="AO264" s="58">
        <v>41899</v>
      </c>
      <c r="AP264" s="61">
        <f t="shared" si="144"/>
        <v>4.4249999999999998E-2</v>
      </c>
      <c r="AQ264" s="58">
        <v>42264</v>
      </c>
      <c r="AR264" s="61">
        <f t="shared" si="145"/>
        <v>3.5249999999999997E-2</v>
      </c>
    </row>
    <row r="265" spans="4:44">
      <c r="D265" s="14">
        <v>261</v>
      </c>
      <c r="E265" s="12">
        <v>41535</v>
      </c>
      <c r="F265" s="15">
        <f t="shared" si="136"/>
        <v>4.8875000000000002E-2</v>
      </c>
      <c r="H265" s="14">
        <v>261</v>
      </c>
      <c r="I265" s="12">
        <v>41900</v>
      </c>
      <c r="J265" s="15">
        <f t="shared" si="137"/>
        <v>4.6041666666666661E-2</v>
      </c>
      <c r="K265" s="4"/>
      <c r="L265" s="14">
        <v>261</v>
      </c>
      <c r="M265" s="12">
        <v>42265</v>
      </c>
      <c r="N265" s="15">
        <f t="shared" si="138"/>
        <v>3.8958333333333345E-2</v>
      </c>
      <c r="O265" s="31"/>
      <c r="P265" s="14">
        <v>261</v>
      </c>
      <c r="Q265" s="12">
        <v>41900</v>
      </c>
      <c r="R265" s="15">
        <f t="shared" si="139"/>
        <v>3.6125000000000004E-2</v>
      </c>
      <c r="S265" s="4"/>
      <c r="T265" s="14">
        <v>261</v>
      </c>
      <c r="U265" s="12">
        <v>42265</v>
      </c>
      <c r="V265" s="15">
        <f t="shared" si="140"/>
        <v>3.6125000000000004E-2</v>
      </c>
      <c r="AA265" s="14">
        <v>261</v>
      </c>
      <c r="AB265" s="12">
        <v>41169</v>
      </c>
      <c r="AC265" s="15">
        <f t="shared" si="141"/>
        <v>5.1708333333333328E-2</v>
      </c>
      <c r="AI265" s="60">
        <v>261</v>
      </c>
      <c r="AJ265" s="58">
        <v>41900</v>
      </c>
      <c r="AK265" s="61">
        <f t="shared" si="142"/>
        <v>3.8250000000000006E-2</v>
      </c>
      <c r="AL265" s="58">
        <v>42265</v>
      </c>
      <c r="AM265" s="61">
        <f t="shared" si="143"/>
        <v>3.8250000000000006E-2</v>
      </c>
      <c r="AO265" s="58">
        <v>41900</v>
      </c>
      <c r="AP265" s="61">
        <f t="shared" si="144"/>
        <v>4.4249999999999998E-2</v>
      </c>
      <c r="AQ265" s="58">
        <v>42265</v>
      </c>
      <c r="AR265" s="61">
        <f t="shared" si="145"/>
        <v>3.5249999999999997E-2</v>
      </c>
    </row>
    <row r="266" spans="4:44">
      <c r="D266" s="14">
        <v>262</v>
      </c>
      <c r="E266" s="12">
        <v>41536</v>
      </c>
      <c r="F266" s="15">
        <f t="shared" si="136"/>
        <v>4.8875000000000002E-2</v>
      </c>
      <c r="H266" s="14">
        <v>262</v>
      </c>
      <c r="I266" s="12">
        <v>41901</v>
      </c>
      <c r="J266" s="15">
        <f t="shared" si="137"/>
        <v>4.6041666666666661E-2</v>
      </c>
      <c r="K266" s="4"/>
      <c r="L266" s="14">
        <v>262</v>
      </c>
      <c r="M266" s="12">
        <v>42266</v>
      </c>
      <c r="N266" s="15">
        <f t="shared" si="138"/>
        <v>3.8958333333333345E-2</v>
      </c>
      <c r="O266" s="31"/>
      <c r="P266" s="14">
        <v>262</v>
      </c>
      <c r="Q266" s="12">
        <v>41901</v>
      </c>
      <c r="R266" s="15">
        <f t="shared" si="139"/>
        <v>3.6125000000000004E-2</v>
      </c>
      <c r="S266" s="4"/>
      <c r="T266" s="14">
        <v>262</v>
      </c>
      <c r="U266" s="12">
        <v>42266</v>
      </c>
      <c r="V266" s="15">
        <f t="shared" si="140"/>
        <v>3.6125000000000004E-2</v>
      </c>
      <c r="AA266" s="14">
        <v>262</v>
      </c>
      <c r="AB266" s="12">
        <v>41170</v>
      </c>
      <c r="AC266" s="15">
        <f t="shared" si="141"/>
        <v>5.1708333333333328E-2</v>
      </c>
      <c r="AI266" s="60">
        <v>262</v>
      </c>
      <c r="AJ266" s="58">
        <v>41901</v>
      </c>
      <c r="AK266" s="61">
        <f t="shared" si="142"/>
        <v>3.8250000000000006E-2</v>
      </c>
      <c r="AL266" s="58">
        <v>42266</v>
      </c>
      <c r="AM266" s="61">
        <f t="shared" si="143"/>
        <v>3.8250000000000006E-2</v>
      </c>
      <c r="AO266" s="58">
        <v>41901</v>
      </c>
      <c r="AP266" s="61">
        <f t="shared" si="144"/>
        <v>4.4249999999999998E-2</v>
      </c>
      <c r="AQ266" s="58">
        <v>42266</v>
      </c>
      <c r="AR266" s="61">
        <f t="shared" si="145"/>
        <v>3.5249999999999997E-2</v>
      </c>
    </row>
    <row r="267" spans="4:44">
      <c r="D267" s="14">
        <v>263</v>
      </c>
      <c r="E267" s="12">
        <v>41537</v>
      </c>
      <c r="F267" s="15">
        <f t="shared" si="136"/>
        <v>4.8875000000000002E-2</v>
      </c>
      <c r="H267" s="14">
        <v>263</v>
      </c>
      <c r="I267" s="12">
        <v>41902</v>
      </c>
      <c r="J267" s="15">
        <f t="shared" si="137"/>
        <v>4.6041666666666661E-2</v>
      </c>
      <c r="K267" s="4"/>
      <c r="L267" s="14">
        <v>263</v>
      </c>
      <c r="M267" s="12">
        <v>42267</v>
      </c>
      <c r="N267" s="15">
        <f t="shared" si="138"/>
        <v>3.8958333333333345E-2</v>
      </c>
      <c r="O267" s="31"/>
      <c r="P267" s="14">
        <v>263</v>
      </c>
      <c r="Q267" s="12">
        <v>41902</v>
      </c>
      <c r="R267" s="15">
        <f t="shared" si="139"/>
        <v>3.6125000000000004E-2</v>
      </c>
      <c r="S267" s="4"/>
      <c r="T267" s="14">
        <v>263</v>
      </c>
      <c r="U267" s="12">
        <v>42267</v>
      </c>
      <c r="V267" s="15">
        <f t="shared" si="140"/>
        <v>3.6125000000000004E-2</v>
      </c>
      <c r="AA267" s="14">
        <v>263</v>
      </c>
      <c r="AB267" s="12">
        <v>41171</v>
      </c>
      <c r="AC267" s="15">
        <f t="shared" si="141"/>
        <v>5.1708333333333328E-2</v>
      </c>
      <c r="AI267" s="60">
        <v>263</v>
      </c>
      <c r="AJ267" s="58">
        <v>41902</v>
      </c>
      <c r="AK267" s="61">
        <f t="shared" si="142"/>
        <v>3.8250000000000006E-2</v>
      </c>
      <c r="AL267" s="58">
        <v>42267</v>
      </c>
      <c r="AM267" s="61">
        <f t="shared" si="143"/>
        <v>3.8250000000000006E-2</v>
      </c>
      <c r="AO267" s="58">
        <v>41902</v>
      </c>
      <c r="AP267" s="61">
        <f t="shared" si="144"/>
        <v>4.4249999999999998E-2</v>
      </c>
      <c r="AQ267" s="58">
        <v>42267</v>
      </c>
      <c r="AR267" s="61">
        <f t="shared" si="145"/>
        <v>3.5249999999999997E-2</v>
      </c>
    </row>
    <row r="268" spans="4:44">
      <c r="D268" s="14">
        <v>264</v>
      </c>
      <c r="E268" s="12">
        <v>41538</v>
      </c>
      <c r="F268" s="29">
        <f t="shared" ref="F268:F277" si="146">F$237+F$4/D$4/100</f>
        <v>5.1749999999999997E-2</v>
      </c>
      <c r="H268" s="14">
        <v>264</v>
      </c>
      <c r="I268" s="12">
        <v>41903</v>
      </c>
      <c r="J268" s="29">
        <f t="shared" ref="J268:J277" si="147">J$237+J$4/H$4/100</f>
        <v>4.8749999999999995E-2</v>
      </c>
      <c r="K268" s="4"/>
      <c r="L268" s="14">
        <v>264</v>
      </c>
      <c r="M268" s="12">
        <v>42268</v>
      </c>
      <c r="N268" s="29">
        <f t="shared" ref="N268:N277" si="148">N$237+N$4/L$4/100</f>
        <v>4.1250000000000009E-2</v>
      </c>
      <c r="O268" s="31"/>
      <c r="P268" s="14">
        <v>264</v>
      </c>
      <c r="Q268" s="12">
        <v>41903</v>
      </c>
      <c r="R268" s="29">
        <f t="shared" ref="R268:R277" si="149">R$237+R$4/P$4/100</f>
        <v>3.8250000000000006E-2</v>
      </c>
      <c r="S268" s="4"/>
      <c r="T268" s="14">
        <v>264</v>
      </c>
      <c r="U268" s="12">
        <v>42268</v>
      </c>
      <c r="V268" s="29">
        <f t="shared" ref="V268:V277" si="150">V$237+V$4/T$4/100</f>
        <v>3.8250000000000006E-2</v>
      </c>
      <c r="AA268" s="30">
        <v>264</v>
      </c>
      <c r="AB268" s="12">
        <v>41172</v>
      </c>
      <c r="AC268" s="15">
        <f t="shared" si="141"/>
        <v>5.1708333333333328E-2</v>
      </c>
      <c r="AI268" s="60">
        <v>264</v>
      </c>
      <c r="AJ268" s="58">
        <v>41903</v>
      </c>
      <c r="AK268" s="61">
        <f t="shared" si="142"/>
        <v>3.8250000000000006E-2</v>
      </c>
      <c r="AL268" s="58">
        <v>42268</v>
      </c>
      <c r="AM268" s="61">
        <f t="shared" si="143"/>
        <v>3.8250000000000006E-2</v>
      </c>
      <c r="AO268" s="58">
        <v>41903</v>
      </c>
      <c r="AP268" s="61">
        <f t="shared" si="144"/>
        <v>4.4249999999999998E-2</v>
      </c>
      <c r="AQ268" s="58">
        <v>42268</v>
      </c>
      <c r="AR268" s="61">
        <f t="shared" si="145"/>
        <v>3.5249999999999997E-2</v>
      </c>
    </row>
    <row r="269" spans="4:44">
      <c r="D269" s="14">
        <v>265</v>
      </c>
      <c r="E269" s="12">
        <v>41539</v>
      </c>
      <c r="F269" s="15">
        <f t="shared" si="146"/>
        <v>5.1749999999999997E-2</v>
      </c>
      <c r="H269" s="14">
        <v>265</v>
      </c>
      <c r="I269" s="12">
        <v>41904</v>
      </c>
      <c r="J269" s="15">
        <f t="shared" si="147"/>
        <v>4.8749999999999995E-2</v>
      </c>
      <c r="K269" s="4"/>
      <c r="L269" s="14">
        <v>265</v>
      </c>
      <c r="M269" s="12">
        <v>42269</v>
      </c>
      <c r="N269" s="15">
        <f t="shared" si="148"/>
        <v>4.1250000000000009E-2</v>
      </c>
      <c r="O269" s="31"/>
      <c r="P269" s="14">
        <v>265</v>
      </c>
      <c r="Q269" s="12">
        <v>41904</v>
      </c>
      <c r="R269" s="15">
        <f t="shared" si="149"/>
        <v>3.8250000000000006E-2</v>
      </c>
      <c r="S269" s="4"/>
      <c r="T269" s="14">
        <v>265</v>
      </c>
      <c r="U269" s="12">
        <v>42269</v>
      </c>
      <c r="V269" s="15">
        <f t="shared" si="150"/>
        <v>3.8250000000000006E-2</v>
      </c>
      <c r="AA269" s="30">
        <v>265</v>
      </c>
      <c r="AB269" s="28">
        <v>41173</v>
      </c>
      <c r="AC269" s="29">
        <f t="shared" ref="AC269:AC278" si="151">AC$238+AC$4/AA$4/100</f>
        <v>5.4749999999999993E-2</v>
      </c>
      <c r="AI269" s="60">
        <v>265</v>
      </c>
      <c r="AJ269" s="58">
        <v>41904</v>
      </c>
      <c r="AK269" s="61">
        <f t="shared" si="142"/>
        <v>3.8250000000000006E-2</v>
      </c>
      <c r="AL269" s="58">
        <v>42269</v>
      </c>
      <c r="AM269" s="61">
        <f t="shared" si="143"/>
        <v>3.8250000000000006E-2</v>
      </c>
      <c r="AO269" s="58">
        <v>41904</v>
      </c>
      <c r="AP269" s="61">
        <f t="shared" si="144"/>
        <v>4.4249999999999998E-2</v>
      </c>
      <c r="AQ269" s="58">
        <v>42269</v>
      </c>
      <c r="AR269" s="61">
        <f t="shared" si="145"/>
        <v>3.5249999999999997E-2</v>
      </c>
    </row>
    <row r="270" spans="4:44">
      <c r="D270" s="14">
        <v>266</v>
      </c>
      <c r="E270" s="12">
        <v>41540</v>
      </c>
      <c r="F270" s="15">
        <f t="shared" si="146"/>
        <v>5.1749999999999997E-2</v>
      </c>
      <c r="H270" s="14">
        <v>266</v>
      </c>
      <c r="I270" s="12">
        <v>41905</v>
      </c>
      <c r="J270" s="15">
        <f t="shared" si="147"/>
        <v>4.8749999999999995E-2</v>
      </c>
      <c r="K270" s="4"/>
      <c r="L270" s="14">
        <v>266</v>
      </c>
      <c r="M270" s="12">
        <v>42270</v>
      </c>
      <c r="N270" s="15">
        <f t="shared" si="148"/>
        <v>4.1250000000000009E-2</v>
      </c>
      <c r="O270" s="31"/>
      <c r="P270" s="14">
        <v>266</v>
      </c>
      <c r="Q270" s="12">
        <v>41905</v>
      </c>
      <c r="R270" s="15">
        <f t="shared" si="149"/>
        <v>3.8250000000000006E-2</v>
      </c>
      <c r="S270" s="4"/>
      <c r="T270" s="14">
        <v>266</v>
      </c>
      <c r="U270" s="12">
        <v>42270</v>
      </c>
      <c r="V270" s="15">
        <f t="shared" si="150"/>
        <v>3.8250000000000006E-2</v>
      </c>
      <c r="AA270" s="14">
        <v>266</v>
      </c>
      <c r="AB270" s="12">
        <v>41174</v>
      </c>
      <c r="AC270" s="15">
        <f t="shared" si="151"/>
        <v>5.4749999999999993E-2</v>
      </c>
      <c r="AI270" s="60">
        <v>266</v>
      </c>
      <c r="AJ270" s="58">
        <v>41905</v>
      </c>
      <c r="AK270" s="61">
        <f t="shared" si="142"/>
        <v>3.8250000000000006E-2</v>
      </c>
      <c r="AL270" s="58">
        <v>42270</v>
      </c>
      <c r="AM270" s="61">
        <f t="shared" si="143"/>
        <v>3.8250000000000006E-2</v>
      </c>
      <c r="AO270" s="58">
        <v>41905</v>
      </c>
      <c r="AP270" s="61">
        <f t="shared" si="144"/>
        <v>4.4249999999999998E-2</v>
      </c>
      <c r="AQ270" s="58">
        <v>42270</v>
      </c>
      <c r="AR270" s="61">
        <f t="shared" si="145"/>
        <v>3.5249999999999997E-2</v>
      </c>
    </row>
    <row r="271" spans="4:44">
      <c r="D271" s="14">
        <v>267</v>
      </c>
      <c r="E271" s="12">
        <v>41541</v>
      </c>
      <c r="F271" s="15">
        <f t="shared" si="146"/>
        <v>5.1749999999999997E-2</v>
      </c>
      <c r="H271" s="14">
        <v>267</v>
      </c>
      <c r="I271" s="12">
        <v>41906</v>
      </c>
      <c r="J271" s="15">
        <f t="shared" si="147"/>
        <v>4.8749999999999995E-2</v>
      </c>
      <c r="K271" s="4"/>
      <c r="L271" s="14">
        <v>267</v>
      </c>
      <c r="M271" s="12">
        <v>42271</v>
      </c>
      <c r="N271" s="15">
        <f t="shared" si="148"/>
        <v>4.1250000000000009E-2</v>
      </c>
      <c r="O271" s="31"/>
      <c r="P271" s="14">
        <v>267</v>
      </c>
      <c r="Q271" s="12">
        <v>41906</v>
      </c>
      <c r="R271" s="15">
        <f t="shared" si="149"/>
        <v>3.8250000000000006E-2</v>
      </c>
      <c r="S271" s="4"/>
      <c r="T271" s="14">
        <v>267</v>
      </c>
      <c r="U271" s="12">
        <v>42271</v>
      </c>
      <c r="V271" s="15">
        <f t="shared" si="150"/>
        <v>3.8250000000000006E-2</v>
      </c>
      <c r="AA271" s="14">
        <v>267</v>
      </c>
      <c r="AB271" s="12">
        <v>41175</v>
      </c>
      <c r="AC271" s="15">
        <f t="shared" si="151"/>
        <v>5.4749999999999993E-2</v>
      </c>
      <c r="AI271" s="60">
        <v>267</v>
      </c>
      <c r="AJ271" s="58">
        <v>41906</v>
      </c>
      <c r="AK271" s="61">
        <f t="shared" si="142"/>
        <v>3.8250000000000006E-2</v>
      </c>
      <c r="AL271" s="58">
        <v>42271</v>
      </c>
      <c r="AM271" s="61">
        <f t="shared" si="143"/>
        <v>3.8250000000000006E-2</v>
      </c>
      <c r="AO271" s="58">
        <v>41906</v>
      </c>
      <c r="AP271" s="61">
        <f t="shared" si="144"/>
        <v>4.4249999999999998E-2</v>
      </c>
      <c r="AQ271" s="58">
        <v>42271</v>
      </c>
      <c r="AR271" s="61">
        <f t="shared" si="145"/>
        <v>3.5249999999999997E-2</v>
      </c>
    </row>
    <row r="272" spans="4:44">
      <c r="D272" s="14">
        <v>268</v>
      </c>
      <c r="E272" s="12">
        <v>41542</v>
      </c>
      <c r="F272" s="15">
        <f t="shared" si="146"/>
        <v>5.1749999999999997E-2</v>
      </c>
      <c r="H272" s="14">
        <v>268</v>
      </c>
      <c r="I272" s="12">
        <v>41907</v>
      </c>
      <c r="J272" s="15">
        <f t="shared" si="147"/>
        <v>4.8749999999999995E-2</v>
      </c>
      <c r="K272" s="4"/>
      <c r="L272" s="14">
        <v>268</v>
      </c>
      <c r="M272" s="12">
        <v>42272</v>
      </c>
      <c r="N272" s="15">
        <f t="shared" si="148"/>
        <v>4.1250000000000009E-2</v>
      </c>
      <c r="O272" s="31"/>
      <c r="P272" s="14">
        <v>268</v>
      </c>
      <c r="Q272" s="12">
        <v>41907</v>
      </c>
      <c r="R272" s="15">
        <f t="shared" si="149"/>
        <v>3.8250000000000006E-2</v>
      </c>
      <c r="S272" s="4"/>
      <c r="T272" s="14">
        <v>268</v>
      </c>
      <c r="U272" s="12">
        <v>42272</v>
      </c>
      <c r="V272" s="15">
        <f t="shared" si="150"/>
        <v>3.8250000000000006E-2</v>
      </c>
      <c r="AA272" s="14">
        <v>268</v>
      </c>
      <c r="AB272" s="12">
        <v>41176</v>
      </c>
      <c r="AC272" s="15">
        <f t="shared" si="151"/>
        <v>5.4749999999999993E-2</v>
      </c>
      <c r="AI272" s="60">
        <v>268</v>
      </c>
      <c r="AJ272" s="58">
        <v>41907</v>
      </c>
      <c r="AK272" s="61">
        <f t="shared" si="142"/>
        <v>3.8250000000000006E-2</v>
      </c>
      <c r="AL272" s="58">
        <v>42272</v>
      </c>
      <c r="AM272" s="61">
        <f t="shared" si="143"/>
        <v>3.8250000000000006E-2</v>
      </c>
      <c r="AO272" s="58">
        <v>41907</v>
      </c>
      <c r="AP272" s="61">
        <f t="shared" si="144"/>
        <v>4.4249999999999998E-2</v>
      </c>
      <c r="AQ272" s="58">
        <v>42272</v>
      </c>
      <c r="AR272" s="61">
        <f t="shared" si="145"/>
        <v>3.5249999999999997E-2</v>
      </c>
    </row>
    <row r="273" spans="4:44">
      <c r="D273" s="14">
        <v>269</v>
      </c>
      <c r="E273" s="12">
        <v>41543</v>
      </c>
      <c r="F273" s="15">
        <f t="shared" si="146"/>
        <v>5.1749999999999997E-2</v>
      </c>
      <c r="H273" s="14">
        <v>269</v>
      </c>
      <c r="I273" s="12">
        <v>41908</v>
      </c>
      <c r="J273" s="15">
        <f t="shared" si="147"/>
        <v>4.8749999999999995E-2</v>
      </c>
      <c r="K273" s="4"/>
      <c r="L273" s="14">
        <v>269</v>
      </c>
      <c r="M273" s="12">
        <v>42273</v>
      </c>
      <c r="N273" s="15">
        <f t="shared" si="148"/>
        <v>4.1250000000000009E-2</v>
      </c>
      <c r="O273" s="31"/>
      <c r="P273" s="14">
        <v>269</v>
      </c>
      <c r="Q273" s="12">
        <v>41908</v>
      </c>
      <c r="R273" s="15">
        <f t="shared" si="149"/>
        <v>3.8250000000000006E-2</v>
      </c>
      <c r="S273" s="4"/>
      <c r="T273" s="14">
        <v>269</v>
      </c>
      <c r="U273" s="12">
        <v>42273</v>
      </c>
      <c r="V273" s="15">
        <f t="shared" si="150"/>
        <v>3.8250000000000006E-2</v>
      </c>
      <c r="AA273" s="14">
        <v>269</v>
      </c>
      <c r="AB273" s="12">
        <v>41177</v>
      </c>
      <c r="AC273" s="15">
        <f t="shared" si="151"/>
        <v>5.4749999999999993E-2</v>
      </c>
      <c r="AI273" s="60">
        <v>269</v>
      </c>
      <c r="AJ273" s="58">
        <v>41908</v>
      </c>
      <c r="AK273" s="61">
        <f t="shared" si="142"/>
        <v>3.8250000000000006E-2</v>
      </c>
      <c r="AL273" s="58">
        <v>42273</v>
      </c>
      <c r="AM273" s="61">
        <f t="shared" si="143"/>
        <v>3.8250000000000006E-2</v>
      </c>
      <c r="AO273" s="58">
        <v>41908</v>
      </c>
      <c r="AP273" s="61">
        <f t="shared" si="144"/>
        <v>4.4249999999999998E-2</v>
      </c>
      <c r="AQ273" s="58">
        <v>42273</v>
      </c>
      <c r="AR273" s="61">
        <f t="shared" si="145"/>
        <v>3.5249999999999997E-2</v>
      </c>
    </row>
    <row r="274" spans="4:44">
      <c r="D274" s="14">
        <v>270</v>
      </c>
      <c r="E274" s="12">
        <v>41544</v>
      </c>
      <c r="F274" s="15">
        <f t="shared" si="146"/>
        <v>5.1749999999999997E-2</v>
      </c>
      <c r="H274" s="14">
        <v>270</v>
      </c>
      <c r="I274" s="12">
        <v>41909</v>
      </c>
      <c r="J274" s="15">
        <f t="shared" si="147"/>
        <v>4.8749999999999995E-2</v>
      </c>
      <c r="K274" s="4"/>
      <c r="L274" s="14">
        <v>270</v>
      </c>
      <c r="M274" s="12">
        <v>42274</v>
      </c>
      <c r="N274" s="15">
        <f t="shared" si="148"/>
        <v>4.1250000000000009E-2</v>
      </c>
      <c r="O274" s="31"/>
      <c r="P274" s="14">
        <v>270</v>
      </c>
      <c r="Q274" s="12">
        <v>41909</v>
      </c>
      <c r="R274" s="15">
        <f t="shared" si="149"/>
        <v>3.8250000000000006E-2</v>
      </c>
      <c r="S274" s="4"/>
      <c r="T274" s="14">
        <v>270</v>
      </c>
      <c r="U274" s="12">
        <v>42274</v>
      </c>
      <c r="V274" s="15">
        <f t="shared" si="150"/>
        <v>3.8250000000000006E-2</v>
      </c>
      <c r="AA274" s="14">
        <v>270</v>
      </c>
      <c r="AB274" s="12">
        <v>41178</v>
      </c>
      <c r="AC274" s="15">
        <f t="shared" si="151"/>
        <v>5.4749999999999993E-2</v>
      </c>
      <c r="AI274" s="60">
        <v>270</v>
      </c>
      <c r="AJ274" s="58">
        <v>41909</v>
      </c>
      <c r="AK274" s="61">
        <f t="shared" si="142"/>
        <v>3.8250000000000006E-2</v>
      </c>
      <c r="AL274" s="58">
        <v>42274</v>
      </c>
      <c r="AM274" s="61">
        <f t="shared" si="143"/>
        <v>3.8250000000000006E-2</v>
      </c>
      <c r="AO274" s="58">
        <v>41909</v>
      </c>
      <c r="AP274" s="61">
        <f t="shared" si="144"/>
        <v>4.4249999999999998E-2</v>
      </c>
      <c r="AQ274" s="58">
        <v>42274</v>
      </c>
      <c r="AR274" s="61">
        <f t="shared" si="145"/>
        <v>3.5249999999999997E-2</v>
      </c>
    </row>
    <row r="275" spans="4:44">
      <c r="D275" s="14">
        <v>271</v>
      </c>
      <c r="E275" s="12">
        <v>41545</v>
      </c>
      <c r="F275" s="15">
        <f t="shared" si="146"/>
        <v>5.1749999999999997E-2</v>
      </c>
      <c r="H275" s="14">
        <v>271</v>
      </c>
      <c r="I275" s="12">
        <v>41910</v>
      </c>
      <c r="J275" s="15">
        <f t="shared" si="147"/>
        <v>4.8749999999999995E-2</v>
      </c>
      <c r="K275" s="4"/>
      <c r="L275" s="14">
        <v>271</v>
      </c>
      <c r="M275" s="12">
        <v>42275</v>
      </c>
      <c r="N275" s="15">
        <f t="shared" si="148"/>
        <v>4.1250000000000009E-2</v>
      </c>
      <c r="O275" s="31"/>
      <c r="P275" s="14">
        <v>271</v>
      </c>
      <c r="Q275" s="12">
        <v>41910</v>
      </c>
      <c r="R275" s="15">
        <f t="shared" si="149"/>
        <v>3.8250000000000006E-2</v>
      </c>
      <c r="S275" s="4"/>
      <c r="T275" s="14">
        <v>271</v>
      </c>
      <c r="U275" s="12">
        <v>42275</v>
      </c>
      <c r="V275" s="15">
        <f t="shared" si="150"/>
        <v>3.8250000000000006E-2</v>
      </c>
      <c r="AA275" s="14">
        <v>271</v>
      </c>
      <c r="AB275" s="12">
        <v>41179</v>
      </c>
      <c r="AC275" s="15">
        <f t="shared" si="151"/>
        <v>5.4749999999999993E-2</v>
      </c>
      <c r="AI275" s="60">
        <v>271</v>
      </c>
      <c r="AJ275" s="58">
        <v>41910</v>
      </c>
      <c r="AK275" s="61">
        <f t="shared" si="142"/>
        <v>3.8250000000000006E-2</v>
      </c>
      <c r="AL275" s="58">
        <v>42275</v>
      </c>
      <c r="AM275" s="61">
        <f t="shared" si="143"/>
        <v>3.8250000000000006E-2</v>
      </c>
      <c r="AO275" s="58">
        <v>41910</v>
      </c>
      <c r="AP275" s="61">
        <f t="shared" si="144"/>
        <v>4.4249999999999998E-2</v>
      </c>
      <c r="AQ275" s="58">
        <v>42275</v>
      </c>
      <c r="AR275" s="61">
        <f t="shared" si="145"/>
        <v>3.5249999999999997E-2</v>
      </c>
    </row>
    <row r="276" spans="4:44">
      <c r="D276" s="14">
        <v>272</v>
      </c>
      <c r="E276" s="12">
        <v>41546</v>
      </c>
      <c r="F276" s="15">
        <f t="shared" si="146"/>
        <v>5.1749999999999997E-2</v>
      </c>
      <c r="H276" s="14">
        <v>272</v>
      </c>
      <c r="I276" s="12">
        <v>41911</v>
      </c>
      <c r="J276" s="15">
        <f t="shared" si="147"/>
        <v>4.8749999999999995E-2</v>
      </c>
      <c r="K276" s="4"/>
      <c r="L276" s="14">
        <v>272</v>
      </c>
      <c r="M276" s="12">
        <v>42276</v>
      </c>
      <c r="N276" s="15">
        <f t="shared" si="148"/>
        <v>4.1250000000000009E-2</v>
      </c>
      <c r="O276" s="31"/>
      <c r="P276" s="14">
        <v>272</v>
      </c>
      <c r="Q276" s="12">
        <v>41911</v>
      </c>
      <c r="R276" s="15">
        <f t="shared" si="149"/>
        <v>3.8250000000000006E-2</v>
      </c>
      <c r="S276" s="4"/>
      <c r="T276" s="14">
        <v>272</v>
      </c>
      <c r="U276" s="12">
        <v>42276</v>
      </c>
      <c r="V276" s="15">
        <f t="shared" si="150"/>
        <v>3.8250000000000006E-2</v>
      </c>
      <c r="AA276" s="14">
        <v>272</v>
      </c>
      <c r="AB276" s="12">
        <v>41180</v>
      </c>
      <c r="AC276" s="15">
        <f t="shared" si="151"/>
        <v>5.4749999999999993E-2</v>
      </c>
      <c r="AI276" s="60">
        <v>272</v>
      </c>
      <c r="AJ276" s="58">
        <v>41911</v>
      </c>
      <c r="AK276" s="61">
        <f t="shared" si="142"/>
        <v>3.8250000000000006E-2</v>
      </c>
      <c r="AL276" s="58">
        <v>42276</v>
      </c>
      <c r="AM276" s="61">
        <f t="shared" si="143"/>
        <v>3.8250000000000006E-2</v>
      </c>
      <c r="AO276" s="58">
        <v>41911</v>
      </c>
      <c r="AP276" s="61">
        <f t="shared" si="144"/>
        <v>4.4249999999999998E-2</v>
      </c>
      <c r="AQ276" s="58">
        <v>42276</v>
      </c>
      <c r="AR276" s="61">
        <f t="shared" si="145"/>
        <v>3.5249999999999997E-2</v>
      </c>
    </row>
    <row r="277" spans="4:44">
      <c r="D277" s="14">
        <v>273</v>
      </c>
      <c r="E277" s="12">
        <v>41547</v>
      </c>
      <c r="F277" s="15">
        <f t="shared" si="146"/>
        <v>5.1749999999999997E-2</v>
      </c>
      <c r="H277" s="14">
        <v>273</v>
      </c>
      <c r="I277" s="12">
        <v>41912</v>
      </c>
      <c r="J277" s="15">
        <f t="shared" si="147"/>
        <v>4.8749999999999995E-2</v>
      </c>
      <c r="K277" s="4"/>
      <c r="L277" s="14">
        <v>273</v>
      </c>
      <c r="M277" s="12">
        <v>42277</v>
      </c>
      <c r="N277" s="15">
        <f t="shared" si="148"/>
        <v>4.1250000000000009E-2</v>
      </c>
      <c r="O277" s="31"/>
      <c r="P277" s="14">
        <v>273</v>
      </c>
      <c r="Q277" s="12">
        <v>41912</v>
      </c>
      <c r="R277" s="15">
        <f t="shared" si="149"/>
        <v>3.8250000000000006E-2</v>
      </c>
      <c r="S277" s="4"/>
      <c r="T277" s="14">
        <v>273</v>
      </c>
      <c r="U277" s="12">
        <v>42277</v>
      </c>
      <c r="V277" s="15">
        <f t="shared" si="150"/>
        <v>3.8250000000000006E-2</v>
      </c>
      <c r="AA277" s="14">
        <v>273</v>
      </c>
      <c r="AB277" s="12">
        <v>41181</v>
      </c>
      <c r="AC277" s="15">
        <f t="shared" si="151"/>
        <v>5.4749999999999993E-2</v>
      </c>
      <c r="AI277" s="60">
        <v>273</v>
      </c>
      <c r="AJ277" s="58">
        <v>41912</v>
      </c>
      <c r="AK277" s="61">
        <f t="shared" si="142"/>
        <v>3.8250000000000006E-2</v>
      </c>
      <c r="AL277" s="58">
        <v>42277</v>
      </c>
      <c r="AM277" s="61">
        <f t="shared" si="143"/>
        <v>3.8250000000000006E-2</v>
      </c>
      <c r="AO277" s="58">
        <v>41912</v>
      </c>
      <c r="AP277" s="61">
        <f t="shared" si="144"/>
        <v>4.4249999999999998E-2</v>
      </c>
      <c r="AQ277" s="58">
        <v>42277</v>
      </c>
      <c r="AR277" s="61">
        <f t="shared" si="145"/>
        <v>3.5249999999999997E-2</v>
      </c>
    </row>
    <row r="278" spans="4:44">
      <c r="D278" s="14">
        <v>274</v>
      </c>
      <c r="E278" s="12">
        <v>41548</v>
      </c>
      <c r="F278" s="29">
        <f t="shared" ref="F278:F297" si="152">F$249+F$4/D$4/100</f>
        <v>5.4625E-2</v>
      </c>
      <c r="H278" s="14">
        <v>274</v>
      </c>
      <c r="I278" s="12">
        <v>41913</v>
      </c>
      <c r="J278" s="29">
        <f t="shared" ref="J278:J297" si="153">J$249+J$4/H$4/100</f>
        <v>5.1458333333333328E-2</v>
      </c>
      <c r="K278" s="4"/>
      <c r="L278" s="14">
        <v>274</v>
      </c>
      <c r="M278" s="12">
        <v>42278</v>
      </c>
      <c r="N278" s="29">
        <f t="shared" ref="N278:N297" si="154">N$249+N$4/L$4/100</f>
        <v>4.354166666666668E-2</v>
      </c>
      <c r="O278" s="31"/>
      <c r="P278" s="14">
        <v>274</v>
      </c>
      <c r="Q278" s="12">
        <v>41913</v>
      </c>
      <c r="R278" s="29">
        <f t="shared" ref="R278:R297" si="155">R$249+R$4/P$4/100</f>
        <v>4.0375000000000008E-2</v>
      </c>
      <c r="S278" s="4"/>
      <c r="T278" s="14">
        <v>274</v>
      </c>
      <c r="U278" s="12">
        <v>42278</v>
      </c>
      <c r="V278" s="29">
        <f t="shared" ref="V278:V297" si="156">V$249+V$4/T$4/100</f>
        <v>4.0375000000000008E-2</v>
      </c>
      <c r="AA278" s="30">
        <v>274</v>
      </c>
      <c r="AB278" s="12">
        <v>41182</v>
      </c>
      <c r="AC278" s="15">
        <f t="shared" si="151"/>
        <v>5.4749999999999993E-2</v>
      </c>
      <c r="AI278" s="60">
        <v>274</v>
      </c>
      <c r="AJ278" s="63">
        <v>41913</v>
      </c>
      <c r="AK278" s="61">
        <f t="shared" si="142"/>
        <v>3.8250000000000006E-2</v>
      </c>
      <c r="AL278" s="58">
        <v>42278</v>
      </c>
      <c r="AM278" s="61">
        <f t="shared" si="143"/>
        <v>3.8250000000000006E-2</v>
      </c>
      <c r="AO278" s="63">
        <v>41913</v>
      </c>
      <c r="AP278" s="61">
        <f t="shared" si="144"/>
        <v>4.4249999999999998E-2</v>
      </c>
      <c r="AQ278" s="58">
        <v>42278</v>
      </c>
      <c r="AR278" s="61">
        <f t="shared" si="145"/>
        <v>3.5249999999999997E-2</v>
      </c>
    </row>
    <row r="279" spans="4:44">
      <c r="D279" s="14">
        <v>275</v>
      </c>
      <c r="E279" s="12">
        <v>41549</v>
      </c>
      <c r="F279" s="15">
        <f t="shared" si="152"/>
        <v>5.4625E-2</v>
      </c>
      <c r="H279" s="14">
        <v>275</v>
      </c>
      <c r="I279" s="12">
        <v>41914</v>
      </c>
      <c r="J279" s="15">
        <f t="shared" si="153"/>
        <v>5.1458333333333328E-2</v>
      </c>
      <c r="K279" s="4"/>
      <c r="L279" s="14">
        <v>275</v>
      </c>
      <c r="M279" s="12">
        <v>42279</v>
      </c>
      <c r="N279" s="15">
        <f t="shared" si="154"/>
        <v>4.354166666666668E-2</v>
      </c>
      <c r="O279" s="31"/>
      <c r="P279" s="14">
        <v>275</v>
      </c>
      <c r="Q279" s="12">
        <v>41914</v>
      </c>
      <c r="R279" s="15">
        <f t="shared" si="155"/>
        <v>4.0375000000000008E-2</v>
      </c>
      <c r="S279" s="4"/>
      <c r="T279" s="14">
        <v>275</v>
      </c>
      <c r="U279" s="12">
        <v>42279</v>
      </c>
      <c r="V279" s="15">
        <f t="shared" si="156"/>
        <v>4.0375000000000008E-2</v>
      </c>
      <c r="AA279" s="30">
        <v>275</v>
      </c>
      <c r="AB279" s="28">
        <v>41183</v>
      </c>
      <c r="AC279" s="29">
        <f t="shared" ref="AC279:AC298" si="157">AC$249+AC$4/AA$4/100</f>
        <v>5.7791666666666658E-2</v>
      </c>
      <c r="AI279" s="60">
        <v>275</v>
      </c>
      <c r="AJ279" s="58">
        <v>41914</v>
      </c>
      <c r="AK279" s="61">
        <f t="shared" si="142"/>
        <v>3.8250000000000006E-2</v>
      </c>
      <c r="AL279" s="58">
        <v>42279</v>
      </c>
      <c r="AM279" s="61">
        <f t="shared" si="143"/>
        <v>3.8250000000000006E-2</v>
      </c>
      <c r="AO279" s="58">
        <v>41914</v>
      </c>
      <c r="AP279" s="61">
        <f t="shared" si="144"/>
        <v>4.4249999999999998E-2</v>
      </c>
      <c r="AQ279" s="58">
        <v>42279</v>
      </c>
      <c r="AR279" s="61">
        <f t="shared" si="145"/>
        <v>3.5249999999999997E-2</v>
      </c>
    </row>
    <row r="280" spans="4:44">
      <c r="D280" s="14">
        <v>276</v>
      </c>
      <c r="E280" s="12">
        <v>41550</v>
      </c>
      <c r="F280" s="15">
        <f t="shared" si="152"/>
        <v>5.4625E-2</v>
      </c>
      <c r="H280" s="14">
        <v>276</v>
      </c>
      <c r="I280" s="12">
        <v>41915</v>
      </c>
      <c r="J280" s="15">
        <f t="shared" si="153"/>
        <v>5.1458333333333328E-2</v>
      </c>
      <c r="K280" s="4"/>
      <c r="L280" s="14">
        <v>276</v>
      </c>
      <c r="M280" s="12">
        <v>42280</v>
      </c>
      <c r="N280" s="15">
        <f t="shared" si="154"/>
        <v>4.354166666666668E-2</v>
      </c>
      <c r="O280" s="31"/>
      <c r="P280" s="14">
        <v>276</v>
      </c>
      <c r="Q280" s="12">
        <v>41915</v>
      </c>
      <c r="R280" s="15">
        <f t="shared" si="155"/>
        <v>4.0375000000000008E-2</v>
      </c>
      <c r="S280" s="4"/>
      <c r="T280" s="14">
        <v>276</v>
      </c>
      <c r="U280" s="12">
        <v>42280</v>
      </c>
      <c r="V280" s="15">
        <f t="shared" si="156"/>
        <v>4.0375000000000008E-2</v>
      </c>
      <c r="AA280" s="14">
        <v>276</v>
      </c>
      <c r="AB280" s="12">
        <v>41184</v>
      </c>
      <c r="AC280" s="15">
        <f t="shared" si="157"/>
        <v>5.7791666666666658E-2</v>
      </c>
      <c r="AI280" s="60">
        <v>276</v>
      </c>
      <c r="AJ280" s="58">
        <v>41915</v>
      </c>
      <c r="AK280" s="61">
        <f t="shared" si="142"/>
        <v>3.8250000000000006E-2</v>
      </c>
      <c r="AL280" s="58">
        <v>42280</v>
      </c>
      <c r="AM280" s="61">
        <f t="shared" si="143"/>
        <v>3.8250000000000006E-2</v>
      </c>
      <c r="AO280" s="58">
        <v>41915</v>
      </c>
      <c r="AP280" s="61">
        <f t="shared" si="144"/>
        <v>4.4249999999999998E-2</v>
      </c>
      <c r="AQ280" s="58">
        <v>42280</v>
      </c>
      <c r="AR280" s="61">
        <f t="shared" si="145"/>
        <v>3.5249999999999997E-2</v>
      </c>
    </row>
    <row r="281" spans="4:44">
      <c r="D281" s="14">
        <v>277</v>
      </c>
      <c r="E281" s="12">
        <v>41551</v>
      </c>
      <c r="F281" s="15">
        <f t="shared" si="152"/>
        <v>5.4625E-2</v>
      </c>
      <c r="H281" s="14">
        <v>277</v>
      </c>
      <c r="I281" s="12">
        <v>41916</v>
      </c>
      <c r="J281" s="15">
        <f t="shared" si="153"/>
        <v>5.1458333333333328E-2</v>
      </c>
      <c r="K281" s="4"/>
      <c r="L281" s="14">
        <v>277</v>
      </c>
      <c r="M281" s="12">
        <v>42281</v>
      </c>
      <c r="N281" s="15">
        <f t="shared" si="154"/>
        <v>4.354166666666668E-2</v>
      </c>
      <c r="O281" s="31"/>
      <c r="P281" s="14">
        <v>277</v>
      </c>
      <c r="Q281" s="12">
        <v>41916</v>
      </c>
      <c r="R281" s="15">
        <f t="shared" si="155"/>
        <v>4.0375000000000008E-2</v>
      </c>
      <c r="S281" s="4"/>
      <c r="T281" s="14">
        <v>277</v>
      </c>
      <c r="U281" s="12">
        <v>42281</v>
      </c>
      <c r="V281" s="15">
        <f t="shared" si="156"/>
        <v>4.0375000000000008E-2</v>
      </c>
      <c r="AA281" s="14">
        <v>277</v>
      </c>
      <c r="AB281" s="12">
        <v>41185</v>
      </c>
      <c r="AC281" s="15">
        <f t="shared" si="157"/>
        <v>5.7791666666666658E-2</v>
      </c>
      <c r="AI281" s="60">
        <v>277</v>
      </c>
      <c r="AJ281" s="58">
        <v>41916</v>
      </c>
      <c r="AK281" s="61">
        <f t="shared" si="142"/>
        <v>3.8250000000000006E-2</v>
      </c>
      <c r="AL281" s="58">
        <v>42281</v>
      </c>
      <c r="AM281" s="61">
        <f t="shared" si="143"/>
        <v>3.8250000000000006E-2</v>
      </c>
      <c r="AO281" s="58">
        <v>41916</v>
      </c>
      <c r="AP281" s="61">
        <f t="shared" si="144"/>
        <v>4.4249999999999998E-2</v>
      </c>
      <c r="AQ281" s="58">
        <v>42281</v>
      </c>
      <c r="AR281" s="61">
        <f t="shared" si="145"/>
        <v>3.5249999999999997E-2</v>
      </c>
    </row>
    <row r="282" spans="4:44">
      <c r="D282" s="14">
        <v>278</v>
      </c>
      <c r="E282" s="12">
        <v>41552</v>
      </c>
      <c r="F282" s="15">
        <f t="shared" si="152"/>
        <v>5.4625E-2</v>
      </c>
      <c r="H282" s="14">
        <v>278</v>
      </c>
      <c r="I282" s="12">
        <v>41917</v>
      </c>
      <c r="J282" s="15">
        <f t="shared" si="153"/>
        <v>5.1458333333333328E-2</v>
      </c>
      <c r="K282" s="4"/>
      <c r="L282" s="14">
        <v>278</v>
      </c>
      <c r="M282" s="12">
        <v>42282</v>
      </c>
      <c r="N282" s="15">
        <f t="shared" si="154"/>
        <v>4.354166666666668E-2</v>
      </c>
      <c r="O282" s="31"/>
      <c r="P282" s="14">
        <v>278</v>
      </c>
      <c r="Q282" s="12">
        <v>41917</v>
      </c>
      <c r="R282" s="15">
        <f t="shared" si="155"/>
        <v>4.0375000000000008E-2</v>
      </c>
      <c r="S282" s="4"/>
      <c r="T282" s="14">
        <v>278</v>
      </c>
      <c r="U282" s="12">
        <v>42282</v>
      </c>
      <c r="V282" s="15">
        <f t="shared" si="156"/>
        <v>4.0375000000000008E-2</v>
      </c>
      <c r="AA282" s="14">
        <v>278</v>
      </c>
      <c r="AB282" s="12">
        <v>41186</v>
      </c>
      <c r="AC282" s="15">
        <f t="shared" si="157"/>
        <v>5.7791666666666658E-2</v>
      </c>
      <c r="AI282" s="60">
        <v>278</v>
      </c>
      <c r="AJ282" s="58">
        <v>41917</v>
      </c>
      <c r="AK282" s="61">
        <f t="shared" si="142"/>
        <v>3.8250000000000006E-2</v>
      </c>
      <c r="AL282" s="58">
        <v>42282</v>
      </c>
      <c r="AM282" s="61">
        <f t="shared" si="143"/>
        <v>3.8250000000000006E-2</v>
      </c>
      <c r="AO282" s="58">
        <v>41917</v>
      </c>
      <c r="AP282" s="61">
        <f t="shared" si="144"/>
        <v>4.4249999999999998E-2</v>
      </c>
      <c r="AQ282" s="58">
        <v>42282</v>
      </c>
      <c r="AR282" s="61">
        <f t="shared" si="145"/>
        <v>3.5249999999999997E-2</v>
      </c>
    </row>
    <row r="283" spans="4:44">
      <c r="D283" s="14">
        <v>279</v>
      </c>
      <c r="E283" s="12">
        <v>41553</v>
      </c>
      <c r="F283" s="15">
        <f t="shared" si="152"/>
        <v>5.4625E-2</v>
      </c>
      <c r="H283" s="14">
        <v>279</v>
      </c>
      <c r="I283" s="12">
        <v>41918</v>
      </c>
      <c r="J283" s="15">
        <f t="shared" si="153"/>
        <v>5.1458333333333328E-2</v>
      </c>
      <c r="K283" s="4"/>
      <c r="L283" s="14">
        <v>279</v>
      </c>
      <c r="M283" s="12">
        <v>42283</v>
      </c>
      <c r="N283" s="15">
        <f t="shared" si="154"/>
        <v>4.354166666666668E-2</v>
      </c>
      <c r="O283" s="31"/>
      <c r="P283" s="14">
        <v>279</v>
      </c>
      <c r="Q283" s="12">
        <v>41918</v>
      </c>
      <c r="R283" s="15">
        <f t="shared" si="155"/>
        <v>4.0375000000000008E-2</v>
      </c>
      <c r="S283" s="4"/>
      <c r="T283" s="14">
        <v>279</v>
      </c>
      <c r="U283" s="12">
        <v>42283</v>
      </c>
      <c r="V283" s="15">
        <f t="shared" si="156"/>
        <v>4.0375000000000008E-2</v>
      </c>
      <c r="AA283" s="14">
        <v>279</v>
      </c>
      <c r="AB283" s="12">
        <v>41187</v>
      </c>
      <c r="AC283" s="15">
        <f t="shared" si="157"/>
        <v>5.7791666666666658E-2</v>
      </c>
      <c r="AI283" s="60">
        <v>279</v>
      </c>
      <c r="AJ283" s="58">
        <v>41918</v>
      </c>
      <c r="AK283" s="64">
        <f t="shared" ref="AK283:AK313" si="158">AK$282+AK$4/AI$4/100</f>
        <v>4.250000000000001E-2</v>
      </c>
      <c r="AL283" s="58">
        <v>42283</v>
      </c>
      <c r="AM283" s="64">
        <f t="shared" ref="AM283:AM313" si="159">AM$282+AM$4/AI$4/100</f>
        <v>4.250000000000001E-2</v>
      </c>
      <c r="AO283" s="58">
        <v>41918</v>
      </c>
      <c r="AP283" s="64">
        <f t="shared" ref="AP283:AP313" si="160">AP$282+AP$4/AI$4/100</f>
        <v>4.9166666666666664E-2</v>
      </c>
      <c r="AQ283" s="58">
        <v>42283</v>
      </c>
      <c r="AR283" s="64">
        <f t="shared" ref="AR283:AR313" si="161">AR$282+AR$4/AI$4/100</f>
        <v>3.9166666666666662E-2</v>
      </c>
    </row>
    <row r="284" spans="4:44">
      <c r="D284" s="14">
        <v>280</v>
      </c>
      <c r="E284" s="12">
        <v>41554</v>
      </c>
      <c r="F284" s="15">
        <f t="shared" si="152"/>
        <v>5.4625E-2</v>
      </c>
      <c r="H284" s="14">
        <v>280</v>
      </c>
      <c r="I284" s="12">
        <v>41919</v>
      </c>
      <c r="J284" s="15">
        <f t="shared" si="153"/>
        <v>5.1458333333333328E-2</v>
      </c>
      <c r="K284" s="4"/>
      <c r="L284" s="14">
        <v>280</v>
      </c>
      <c r="M284" s="12">
        <v>42284</v>
      </c>
      <c r="N284" s="15">
        <f t="shared" si="154"/>
        <v>4.354166666666668E-2</v>
      </c>
      <c r="O284" s="31"/>
      <c r="P284" s="14">
        <v>280</v>
      </c>
      <c r="Q284" s="12">
        <v>41919</v>
      </c>
      <c r="R284" s="15">
        <f t="shared" si="155"/>
        <v>4.0375000000000008E-2</v>
      </c>
      <c r="S284" s="4"/>
      <c r="T284" s="14">
        <v>280</v>
      </c>
      <c r="U284" s="12">
        <v>42284</v>
      </c>
      <c r="V284" s="15">
        <f t="shared" si="156"/>
        <v>4.0375000000000008E-2</v>
      </c>
      <c r="AA284" s="14">
        <v>280</v>
      </c>
      <c r="AB284" s="12">
        <v>41188</v>
      </c>
      <c r="AC284" s="15">
        <f t="shared" si="157"/>
        <v>5.7791666666666658E-2</v>
      </c>
      <c r="AI284" s="60">
        <v>280</v>
      </c>
      <c r="AJ284" s="58">
        <v>41919</v>
      </c>
      <c r="AK284" s="61">
        <f t="shared" si="158"/>
        <v>4.250000000000001E-2</v>
      </c>
      <c r="AL284" s="58">
        <v>42284</v>
      </c>
      <c r="AM284" s="61">
        <f t="shared" si="159"/>
        <v>4.250000000000001E-2</v>
      </c>
      <c r="AO284" s="58">
        <v>41919</v>
      </c>
      <c r="AP284" s="61">
        <f t="shared" si="160"/>
        <v>4.9166666666666664E-2</v>
      </c>
      <c r="AQ284" s="58">
        <v>42284</v>
      </c>
      <c r="AR284" s="61">
        <f t="shared" si="161"/>
        <v>3.9166666666666662E-2</v>
      </c>
    </row>
    <row r="285" spans="4:44">
      <c r="D285" s="14">
        <v>281</v>
      </c>
      <c r="E285" s="12">
        <v>41555</v>
      </c>
      <c r="F285" s="15">
        <f t="shared" si="152"/>
        <v>5.4625E-2</v>
      </c>
      <c r="H285" s="14">
        <v>281</v>
      </c>
      <c r="I285" s="12">
        <v>41920</v>
      </c>
      <c r="J285" s="15">
        <f t="shared" si="153"/>
        <v>5.1458333333333328E-2</v>
      </c>
      <c r="K285" s="4"/>
      <c r="L285" s="14">
        <v>281</v>
      </c>
      <c r="M285" s="12">
        <v>42285</v>
      </c>
      <c r="N285" s="15">
        <f t="shared" si="154"/>
        <v>4.354166666666668E-2</v>
      </c>
      <c r="O285" s="31"/>
      <c r="P285" s="14">
        <v>281</v>
      </c>
      <c r="Q285" s="12">
        <v>41920</v>
      </c>
      <c r="R285" s="15">
        <f t="shared" si="155"/>
        <v>4.0375000000000008E-2</v>
      </c>
      <c r="S285" s="4"/>
      <c r="T285" s="14">
        <v>281</v>
      </c>
      <c r="U285" s="12">
        <v>42285</v>
      </c>
      <c r="V285" s="15">
        <f t="shared" si="156"/>
        <v>4.0375000000000008E-2</v>
      </c>
      <c r="AA285" s="14">
        <v>281</v>
      </c>
      <c r="AB285" s="12">
        <v>41189</v>
      </c>
      <c r="AC285" s="15">
        <f t="shared" si="157"/>
        <v>5.7791666666666658E-2</v>
      </c>
      <c r="AI285" s="60">
        <v>281</v>
      </c>
      <c r="AJ285" s="58">
        <v>41920</v>
      </c>
      <c r="AK285" s="61">
        <f t="shared" si="158"/>
        <v>4.250000000000001E-2</v>
      </c>
      <c r="AL285" s="58">
        <v>42285</v>
      </c>
      <c r="AM285" s="61">
        <f t="shared" si="159"/>
        <v>4.250000000000001E-2</v>
      </c>
      <c r="AO285" s="58">
        <v>41920</v>
      </c>
      <c r="AP285" s="61">
        <f t="shared" si="160"/>
        <v>4.9166666666666664E-2</v>
      </c>
      <c r="AQ285" s="58">
        <v>42285</v>
      </c>
      <c r="AR285" s="61">
        <f t="shared" si="161"/>
        <v>3.9166666666666662E-2</v>
      </c>
    </row>
    <row r="286" spans="4:44">
      <c r="D286" s="14">
        <v>282</v>
      </c>
      <c r="E286" s="12">
        <v>41556</v>
      </c>
      <c r="F286" s="15">
        <f t="shared" si="152"/>
        <v>5.4625E-2</v>
      </c>
      <c r="H286" s="14">
        <v>282</v>
      </c>
      <c r="I286" s="12">
        <v>41921</v>
      </c>
      <c r="J286" s="15">
        <f t="shared" si="153"/>
        <v>5.1458333333333328E-2</v>
      </c>
      <c r="K286" s="4"/>
      <c r="L286" s="14">
        <v>282</v>
      </c>
      <c r="M286" s="12">
        <v>42286</v>
      </c>
      <c r="N286" s="15">
        <f t="shared" si="154"/>
        <v>4.354166666666668E-2</v>
      </c>
      <c r="O286" s="31"/>
      <c r="P286" s="14">
        <v>282</v>
      </c>
      <c r="Q286" s="12">
        <v>41921</v>
      </c>
      <c r="R286" s="15">
        <f t="shared" si="155"/>
        <v>4.0375000000000008E-2</v>
      </c>
      <c r="S286" s="4"/>
      <c r="T286" s="14">
        <v>282</v>
      </c>
      <c r="U286" s="12">
        <v>42286</v>
      </c>
      <c r="V286" s="15">
        <f t="shared" si="156"/>
        <v>4.0375000000000008E-2</v>
      </c>
      <c r="AA286" s="14">
        <v>282</v>
      </c>
      <c r="AB286" s="12">
        <v>41190</v>
      </c>
      <c r="AC286" s="15">
        <f t="shared" si="157"/>
        <v>5.7791666666666658E-2</v>
      </c>
      <c r="AI286" s="60">
        <v>282</v>
      </c>
      <c r="AJ286" s="58">
        <v>41921</v>
      </c>
      <c r="AK286" s="61">
        <f t="shared" si="158"/>
        <v>4.250000000000001E-2</v>
      </c>
      <c r="AL286" s="58">
        <v>42286</v>
      </c>
      <c r="AM286" s="61">
        <f t="shared" si="159"/>
        <v>4.250000000000001E-2</v>
      </c>
      <c r="AO286" s="58">
        <v>41921</v>
      </c>
      <c r="AP286" s="61">
        <f t="shared" si="160"/>
        <v>4.9166666666666664E-2</v>
      </c>
      <c r="AQ286" s="58">
        <v>42286</v>
      </c>
      <c r="AR286" s="61">
        <f t="shared" si="161"/>
        <v>3.9166666666666662E-2</v>
      </c>
    </row>
    <row r="287" spans="4:44">
      <c r="D287" s="14">
        <v>283</v>
      </c>
      <c r="E287" s="12">
        <v>41557</v>
      </c>
      <c r="F287" s="15">
        <f t="shared" si="152"/>
        <v>5.4625E-2</v>
      </c>
      <c r="H287" s="14">
        <v>283</v>
      </c>
      <c r="I287" s="12">
        <v>41922</v>
      </c>
      <c r="J287" s="15">
        <f t="shared" si="153"/>
        <v>5.1458333333333328E-2</v>
      </c>
      <c r="K287" s="4"/>
      <c r="L287" s="14">
        <v>283</v>
      </c>
      <c r="M287" s="12">
        <v>42287</v>
      </c>
      <c r="N287" s="15">
        <f t="shared" si="154"/>
        <v>4.354166666666668E-2</v>
      </c>
      <c r="O287" s="31"/>
      <c r="P287" s="14">
        <v>283</v>
      </c>
      <c r="Q287" s="12">
        <v>41922</v>
      </c>
      <c r="R287" s="15">
        <f t="shared" si="155"/>
        <v>4.0375000000000008E-2</v>
      </c>
      <c r="S287" s="4"/>
      <c r="T287" s="14">
        <v>283</v>
      </c>
      <c r="U287" s="12">
        <v>42287</v>
      </c>
      <c r="V287" s="15">
        <f t="shared" si="156"/>
        <v>4.0375000000000008E-2</v>
      </c>
      <c r="AA287" s="14">
        <v>283</v>
      </c>
      <c r="AB287" s="12">
        <v>41191</v>
      </c>
      <c r="AC287" s="15">
        <f t="shared" si="157"/>
        <v>5.7791666666666658E-2</v>
      </c>
      <c r="AI287" s="60">
        <v>283</v>
      </c>
      <c r="AJ287" s="58">
        <v>41922</v>
      </c>
      <c r="AK287" s="61">
        <f t="shared" si="158"/>
        <v>4.250000000000001E-2</v>
      </c>
      <c r="AL287" s="58">
        <v>42287</v>
      </c>
      <c r="AM287" s="61">
        <f t="shared" si="159"/>
        <v>4.250000000000001E-2</v>
      </c>
      <c r="AO287" s="58">
        <v>41922</v>
      </c>
      <c r="AP287" s="61">
        <f t="shared" si="160"/>
        <v>4.9166666666666664E-2</v>
      </c>
      <c r="AQ287" s="58">
        <v>42287</v>
      </c>
      <c r="AR287" s="61">
        <f t="shared" si="161"/>
        <v>3.9166666666666662E-2</v>
      </c>
    </row>
    <row r="288" spans="4:44">
      <c r="D288" s="14">
        <v>284</v>
      </c>
      <c r="E288" s="12">
        <v>41558</v>
      </c>
      <c r="F288" s="15">
        <f t="shared" si="152"/>
        <v>5.4625E-2</v>
      </c>
      <c r="H288" s="14">
        <v>284</v>
      </c>
      <c r="I288" s="12">
        <v>41923</v>
      </c>
      <c r="J288" s="15">
        <f t="shared" si="153"/>
        <v>5.1458333333333328E-2</v>
      </c>
      <c r="K288" s="4"/>
      <c r="L288" s="14">
        <v>284</v>
      </c>
      <c r="M288" s="12">
        <v>42288</v>
      </c>
      <c r="N288" s="15">
        <f t="shared" si="154"/>
        <v>4.354166666666668E-2</v>
      </c>
      <c r="O288" s="31"/>
      <c r="P288" s="14">
        <v>284</v>
      </c>
      <c r="Q288" s="12">
        <v>41923</v>
      </c>
      <c r="R288" s="15">
        <f t="shared" si="155"/>
        <v>4.0375000000000008E-2</v>
      </c>
      <c r="S288" s="4"/>
      <c r="T288" s="14">
        <v>284</v>
      </c>
      <c r="U288" s="12">
        <v>42288</v>
      </c>
      <c r="V288" s="15">
        <f t="shared" si="156"/>
        <v>4.0375000000000008E-2</v>
      </c>
      <c r="AA288" s="14">
        <v>284</v>
      </c>
      <c r="AB288" s="12">
        <v>41192</v>
      </c>
      <c r="AC288" s="15">
        <f t="shared" si="157"/>
        <v>5.7791666666666658E-2</v>
      </c>
      <c r="AI288" s="60">
        <v>284</v>
      </c>
      <c r="AJ288" s="58">
        <v>41923</v>
      </c>
      <c r="AK288" s="61">
        <f t="shared" si="158"/>
        <v>4.250000000000001E-2</v>
      </c>
      <c r="AL288" s="58">
        <v>42288</v>
      </c>
      <c r="AM288" s="61">
        <f t="shared" si="159"/>
        <v>4.250000000000001E-2</v>
      </c>
      <c r="AO288" s="58">
        <v>41923</v>
      </c>
      <c r="AP288" s="61">
        <f t="shared" si="160"/>
        <v>4.9166666666666664E-2</v>
      </c>
      <c r="AQ288" s="58">
        <v>42288</v>
      </c>
      <c r="AR288" s="61">
        <f t="shared" si="161"/>
        <v>3.9166666666666662E-2</v>
      </c>
    </row>
    <row r="289" spans="4:44">
      <c r="D289" s="14">
        <v>285</v>
      </c>
      <c r="E289" s="12">
        <v>41559</v>
      </c>
      <c r="F289" s="15">
        <f t="shared" si="152"/>
        <v>5.4625E-2</v>
      </c>
      <c r="H289" s="14">
        <v>285</v>
      </c>
      <c r="I289" s="12">
        <v>41924</v>
      </c>
      <c r="J289" s="15">
        <f t="shared" si="153"/>
        <v>5.1458333333333328E-2</v>
      </c>
      <c r="K289" s="4"/>
      <c r="L289" s="14">
        <v>285</v>
      </c>
      <c r="M289" s="12">
        <v>42289</v>
      </c>
      <c r="N289" s="15">
        <f t="shared" si="154"/>
        <v>4.354166666666668E-2</v>
      </c>
      <c r="O289" s="31"/>
      <c r="P289" s="14">
        <v>285</v>
      </c>
      <c r="Q289" s="12">
        <v>41924</v>
      </c>
      <c r="R289" s="15">
        <f t="shared" si="155"/>
        <v>4.0375000000000008E-2</v>
      </c>
      <c r="S289" s="4"/>
      <c r="T289" s="14">
        <v>285</v>
      </c>
      <c r="U289" s="12">
        <v>42289</v>
      </c>
      <c r="V289" s="15">
        <f t="shared" si="156"/>
        <v>4.0375000000000008E-2</v>
      </c>
      <c r="AA289" s="14">
        <v>285</v>
      </c>
      <c r="AB289" s="12">
        <v>41193</v>
      </c>
      <c r="AC289" s="15">
        <f t="shared" si="157"/>
        <v>5.7791666666666658E-2</v>
      </c>
      <c r="AI289" s="60">
        <v>285</v>
      </c>
      <c r="AJ289" s="58">
        <v>41924</v>
      </c>
      <c r="AK289" s="61">
        <f t="shared" si="158"/>
        <v>4.250000000000001E-2</v>
      </c>
      <c r="AL289" s="58">
        <v>42289</v>
      </c>
      <c r="AM289" s="61">
        <f t="shared" si="159"/>
        <v>4.250000000000001E-2</v>
      </c>
      <c r="AO289" s="58">
        <v>41924</v>
      </c>
      <c r="AP289" s="61">
        <f t="shared" si="160"/>
        <v>4.9166666666666664E-2</v>
      </c>
      <c r="AQ289" s="58">
        <v>42289</v>
      </c>
      <c r="AR289" s="61">
        <f t="shared" si="161"/>
        <v>3.9166666666666662E-2</v>
      </c>
    </row>
    <row r="290" spans="4:44">
      <c r="D290" s="14">
        <v>286</v>
      </c>
      <c r="E290" s="12">
        <v>41560</v>
      </c>
      <c r="F290" s="15">
        <f t="shared" si="152"/>
        <v>5.4625E-2</v>
      </c>
      <c r="H290" s="14">
        <v>286</v>
      </c>
      <c r="I290" s="12">
        <v>41925</v>
      </c>
      <c r="J290" s="15">
        <f t="shared" si="153"/>
        <v>5.1458333333333328E-2</v>
      </c>
      <c r="K290" s="4"/>
      <c r="L290" s="14">
        <v>286</v>
      </c>
      <c r="M290" s="12">
        <v>42290</v>
      </c>
      <c r="N290" s="15">
        <f t="shared" si="154"/>
        <v>4.354166666666668E-2</v>
      </c>
      <c r="O290" s="31"/>
      <c r="P290" s="14">
        <v>286</v>
      </c>
      <c r="Q290" s="12">
        <v>41925</v>
      </c>
      <c r="R290" s="15">
        <f t="shared" si="155"/>
        <v>4.0375000000000008E-2</v>
      </c>
      <c r="S290" s="4"/>
      <c r="T290" s="14">
        <v>286</v>
      </c>
      <c r="U290" s="12">
        <v>42290</v>
      </c>
      <c r="V290" s="15">
        <f t="shared" si="156"/>
        <v>4.0375000000000008E-2</v>
      </c>
      <c r="AA290" s="14">
        <v>286</v>
      </c>
      <c r="AB290" s="12">
        <v>41194</v>
      </c>
      <c r="AC290" s="15">
        <f t="shared" si="157"/>
        <v>5.7791666666666658E-2</v>
      </c>
      <c r="AI290" s="60">
        <v>286</v>
      </c>
      <c r="AJ290" s="58">
        <v>41925</v>
      </c>
      <c r="AK290" s="61">
        <f t="shared" si="158"/>
        <v>4.250000000000001E-2</v>
      </c>
      <c r="AL290" s="58">
        <v>42290</v>
      </c>
      <c r="AM290" s="61">
        <f t="shared" si="159"/>
        <v>4.250000000000001E-2</v>
      </c>
      <c r="AO290" s="58">
        <v>41925</v>
      </c>
      <c r="AP290" s="61">
        <f t="shared" si="160"/>
        <v>4.9166666666666664E-2</v>
      </c>
      <c r="AQ290" s="58">
        <v>42290</v>
      </c>
      <c r="AR290" s="61">
        <f t="shared" si="161"/>
        <v>3.9166666666666662E-2</v>
      </c>
    </row>
    <row r="291" spans="4:44">
      <c r="D291" s="14">
        <v>287</v>
      </c>
      <c r="E291" s="12">
        <v>41561</v>
      </c>
      <c r="F291" s="15">
        <f t="shared" si="152"/>
        <v>5.4625E-2</v>
      </c>
      <c r="H291" s="14">
        <v>287</v>
      </c>
      <c r="I291" s="12">
        <v>41926</v>
      </c>
      <c r="J291" s="15">
        <f t="shared" si="153"/>
        <v>5.1458333333333328E-2</v>
      </c>
      <c r="K291" s="4"/>
      <c r="L291" s="14">
        <v>287</v>
      </c>
      <c r="M291" s="12">
        <v>42291</v>
      </c>
      <c r="N291" s="15">
        <f t="shared" si="154"/>
        <v>4.354166666666668E-2</v>
      </c>
      <c r="O291" s="31"/>
      <c r="P291" s="14">
        <v>287</v>
      </c>
      <c r="Q291" s="12">
        <v>41926</v>
      </c>
      <c r="R291" s="15">
        <f t="shared" si="155"/>
        <v>4.0375000000000008E-2</v>
      </c>
      <c r="S291" s="4"/>
      <c r="T291" s="14">
        <v>287</v>
      </c>
      <c r="U291" s="12">
        <v>42291</v>
      </c>
      <c r="V291" s="15">
        <f t="shared" si="156"/>
        <v>4.0375000000000008E-2</v>
      </c>
      <c r="AA291" s="14">
        <v>287</v>
      </c>
      <c r="AB291" s="12">
        <v>41195</v>
      </c>
      <c r="AC291" s="15">
        <f t="shared" si="157"/>
        <v>5.7791666666666658E-2</v>
      </c>
      <c r="AI291" s="60">
        <v>287</v>
      </c>
      <c r="AJ291" s="58">
        <v>41926</v>
      </c>
      <c r="AK291" s="61">
        <f t="shared" si="158"/>
        <v>4.250000000000001E-2</v>
      </c>
      <c r="AL291" s="58">
        <v>42291</v>
      </c>
      <c r="AM291" s="61">
        <f t="shared" si="159"/>
        <v>4.250000000000001E-2</v>
      </c>
      <c r="AO291" s="58">
        <v>41926</v>
      </c>
      <c r="AP291" s="61">
        <f t="shared" si="160"/>
        <v>4.9166666666666664E-2</v>
      </c>
      <c r="AQ291" s="58">
        <v>42291</v>
      </c>
      <c r="AR291" s="61">
        <f t="shared" si="161"/>
        <v>3.9166666666666662E-2</v>
      </c>
    </row>
    <row r="292" spans="4:44">
      <c r="D292" s="14">
        <v>288</v>
      </c>
      <c r="E292" s="12">
        <v>41562</v>
      </c>
      <c r="F292" s="15">
        <f t="shared" si="152"/>
        <v>5.4625E-2</v>
      </c>
      <c r="H292" s="14">
        <v>288</v>
      </c>
      <c r="I292" s="12">
        <v>41927</v>
      </c>
      <c r="J292" s="15">
        <f t="shared" si="153"/>
        <v>5.1458333333333328E-2</v>
      </c>
      <c r="K292" s="4"/>
      <c r="L292" s="14">
        <v>288</v>
      </c>
      <c r="M292" s="12">
        <v>42292</v>
      </c>
      <c r="N292" s="15">
        <f t="shared" si="154"/>
        <v>4.354166666666668E-2</v>
      </c>
      <c r="O292" s="31"/>
      <c r="P292" s="14">
        <v>288</v>
      </c>
      <c r="Q292" s="12">
        <v>41927</v>
      </c>
      <c r="R292" s="15">
        <f t="shared" si="155"/>
        <v>4.0375000000000008E-2</v>
      </c>
      <c r="S292" s="4"/>
      <c r="T292" s="14">
        <v>288</v>
      </c>
      <c r="U292" s="12">
        <v>42292</v>
      </c>
      <c r="V292" s="15">
        <f t="shared" si="156"/>
        <v>4.0375000000000008E-2</v>
      </c>
      <c r="AA292" s="14">
        <v>288</v>
      </c>
      <c r="AB292" s="12">
        <v>41196</v>
      </c>
      <c r="AC292" s="15">
        <f t="shared" si="157"/>
        <v>5.7791666666666658E-2</v>
      </c>
      <c r="AI292" s="60">
        <v>288</v>
      </c>
      <c r="AJ292" s="58">
        <v>41927</v>
      </c>
      <c r="AK292" s="61">
        <f t="shared" si="158"/>
        <v>4.250000000000001E-2</v>
      </c>
      <c r="AL292" s="58">
        <v>42292</v>
      </c>
      <c r="AM292" s="61">
        <f t="shared" si="159"/>
        <v>4.250000000000001E-2</v>
      </c>
      <c r="AO292" s="58">
        <v>41927</v>
      </c>
      <c r="AP292" s="61">
        <f t="shared" si="160"/>
        <v>4.9166666666666664E-2</v>
      </c>
      <c r="AQ292" s="58">
        <v>42292</v>
      </c>
      <c r="AR292" s="61">
        <f t="shared" si="161"/>
        <v>3.9166666666666662E-2</v>
      </c>
    </row>
    <row r="293" spans="4:44">
      <c r="D293" s="14">
        <v>289</v>
      </c>
      <c r="E293" s="12">
        <v>41563</v>
      </c>
      <c r="F293" s="15">
        <f t="shared" si="152"/>
        <v>5.4625E-2</v>
      </c>
      <c r="H293" s="14">
        <v>289</v>
      </c>
      <c r="I293" s="12">
        <v>41928</v>
      </c>
      <c r="J293" s="15">
        <f t="shared" si="153"/>
        <v>5.1458333333333328E-2</v>
      </c>
      <c r="K293" s="4"/>
      <c r="L293" s="14">
        <v>289</v>
      </c>
      <c r="M293" s="12">
        <v>42293</v>
      </c>
      <c r="N293" s="15">
        <f t="shared" si="154"/>
        <v>4.354166666666668E-2</v>
      </c>
      <c r="O293" s="31"/>
      <c r="P293" s="14">
        <v>289</v>
      </c>
      <c r="Q293" s="12">
        <v>41928</v>
      </c>
      <c r="R293" s="15">
        <f t="shared" si="155"/>
        <v>4.0375000000000008E-2</v>
      </c>
      <c r="S293" s="4"/>
      <c r="T293" s="14">
        <v>289</v>
      </c>
      <c r="U293" s="12">
        <v>42293</v>
      </c>
      <c r="V293" s="15">
        <f t="shared" si="156"/>
        <v>4.0375000000000008E-2</v>
      </c>
      <c r="AA293" s="14">
        <v>289</v>
      </c>
      <c r="AB293" s="12">
        <v>41197</v>
      </c>
      <c r="AC293" s="15">
        <f t="shared" si="157"/>
        <v>5.7791666666666658E-2</v>
      </c>
      <c r="AI293" s="60">
        <v>289</v>
      </c>
      <c r="AJ293" s="58">
        <v>41928</v>
      </c>
      <c r="AK293" s="61">
        <f t="shared" si="158"/>
        <v>4.250000000000001E-2</v>
      </c>
      <c r="AL293" s="58">
        <v>42293</v>
      </c>
      <c r="AM293" s="61">
        <f t="shared" si="159"/>
        <v>4.250000000000001E-2</v>
      </c>
      <c r="AO293" s="58">
        <v>41928</v>
      </c>
      <c r="AP293" s="61">
        <f t="shared" si="160"/>
        <v>4.9166666666666664E-2</v>
      </c>
      <c r="AQ293" s="58">
        <v>42293</v>
      </c>
      <c r="AR293" s="61">
        <f t="shared" si="161"/>
        <v>3.9166666666666662E-2</v>
      </c>
    </row>
    <row r="294" spans="4:44">
      <c r="D294" s="14">
        <v>290</v>
      </c>
      <c r="E294" s="12">
        <v>41564</v>
      </c>
      <c r="F294" s="15">
        <f t="shared" si="152"/>
        <v>5.4625E-2</v>
      </c>
      <c r="H294" s="14">
        <v>290</v>
      </c>
      <c r="I294" s="12">
        <v>41929</v>
      </c>
      <c r="J294" s="15">
        <f t="shared" si="153"/>
        <v>5.1458333333333328E-2</v>
      </c>
      <c r="K294" s="4"/>
      <c r="L294" s="14">
        <v>290</v>
      </c>
      <c r="M294" s="12">
        <v>42294</v>
      </c>
      <c r="N294" s="15">
        <f t="shared" si="154"/>
        <v>4.354166666666668E-2</v>
      </c>
      <c r="O294" s="31"/>
      <c r="P294" s="14">
        <v>290</v>
      </c>
      <c r="Q294" s="12">
        <v>41929</v>
      </c>
      <c r="R294" s="15">
        <f t="shared" si="155"/>
        <v>4.0375000000000008E-2</v>
      </c>
      <c r="S294" s="4"/>
      <c r="T294" s="14">
        <v>290</v>
      </c>
      <c r="U294" s="12">
        <v>42294</v>
      </c>
      <c r="V294" s="15">
        <f t="shared" si="156"/>
        <v>4.0375000000000008E-2</v>
      </c>
      <c r="AA294" s="14">
        <v>290</v>
      </c>
      <c r="AB294" s="12">
        <v>41198</v>
      </c>
      <c r="AC294" s="15">
        <f t="shared" si="157"/>
        <v>5.7791666666666658E-2</v>
      </c>
      <c r="AI294" s="60">
        <v>290</v>
      </c>
      <c r="AJ294" s="58">
        <v>41929</v>
      </c>
      <c r="AK294" s="61">
        <f t="shared" si="158"/>
        <v>4.250000000000001E-2</v>
      </c>
      <c r="AL294" s="58">
        <v>42294</v>
      </c>
      <c r="AM294" s="61">
        <f t="shared" si="159"/>
        <v>4.250000000000001E-2</v>
      </c>
      <c r="AO294" s="58">
        <v>41929</v>
      </c>
      <c r="AP294" s="61">
        <f t="shared" si="160"/>
        <v>4.9166666666666664E-2</v>
      </c>
      <c r="AQ294" s="58">
        <v>42294</v>
      </c>
      <c r="AR294" s="61">
        <f t="shared" si="161"/>
        <v>3.9166666666666662E-2</v>
      </c>
    </row>
    <row r="295" spans="4:44">
      <c r="D295" s="14">
        <v>291</v>
      </c>
      <c r="E295" s="12">
        <v>41565</v>
      </c>
      <c r="F295" s="15">
        <f t="shared" si="152"/>
        <v>5.4625E-2</v>
      </c>
      <c r="H295" s="14">
        <v>291</v>
      </c>
      <c r="I295" s="12">
        <v>41930</v>
      </c>
      <c r="J295" s="15">
        <f t="shared" si="153"/>
        <v>5.1458333333333328E-2</v>
      </c>
      <c r="K295" s="4"/>
      <c r="L295" s="14">
        <v>291</v>
      </c>
      <c r="M295" s="12">
        <v>42295</v>
      </c>
      <c r="N295" s="15">
        <f t="shared" si="154"/>
        <v>4.354166666666668E-2</v>
      </c>
      <c r="O295" s="31"/>
      <c r="P295" s="14">
        <v>291</v>
      </c>
      <c r="Q295" s="12">
        <v>41930</v>
      </c>
      <c r="R295" s="15">
        <f t="shared" si="155"/>
        <v>4.0375000000000008E-2</v>
      </c>
      <c r="S295" s="4"/>
      <c r="T295" s="14">
        <v>291</v>
      </c>
      <c r="U295" s="12">
        <v>42295</v>
      </c>
      <c r="V295" s="15">
        <f t="shared" si="156"/>
        <v>4.0375000000000008E-2</v>
      </c>
      <c r="AA295" s="14">
        <v>291</v>
      </c>
      <c r="AB295" s="12">
        <v>41199</v>
      </c>
      <c r="AC295" s="15">
        <f t="shared" si="157"/>
        <v>5.7791666666666658E-2</v>
      </c>
      <c r="AI295" s="60">
        <v>291</v>
      </c>
      <c r="AJ295" s="58">
        <v>41930</v>
      </c>
      <c r="AK295" s="61">
        <f t="shared" si="158"/>
        <v>4.250000000000001E-2</v>
      </c>
      <c r="AL295" s="58">
        <v>42295</v>
      </c>
      <c r="AM295" s="61">
        <f t="shared" si="159"/>
        <v>4.250000000000001E-2</v>
      </c>
      <c r="AO295" s="58">
        <v>41930</v>
      </c>
      <c r="AP295" s="61">
        <f t="shared" si="160"/>
        <v>4.9166666666666664E-2</v>
      </c>
      <c r="AQ295" s="58">
        <v>42295</v>
      </c>
      <c r="AR295" s="61">
        <f t="shared" si="161"/>
        <v>3.9166666666666662E-2</v>
      </c>
    </row>
    <row r="296" spans="4:44">
      <c r="D296" s="14">
        <v>292</v>
      </c>
      <c r="E296" s="12">
        <v>41566</v>
      </c>
      <c r="F296" s="15">
        <f t="shared" si="152"/>
        <v>5.4625E-2</v>
      </c>
      <c r="H296" s="14">
        <v>292</v>
      </c>
      <c r="I296" s="12">
        <v>41931</v>
      </c>
      <c r="J296" s="15">
        <f t="shared" si="153"/>
        <v>5.1458333333333328E-2</v>
      </c>
      <c r="K296" s="4"/>
      <c r="L296" s="14">
        <v>292</v>
      </c>
      <c r="M296" s="12">
        <v>42296</v>
      </c>
      <c r="N296" s="15">
        <f t="shared" si="154"/>
        <v>4.354166666666668E-2</v>
      </c>
      <c r="O296" s="31"/>
      <c r="P296" s="14">
        <v>292</v>
      </c>
      <c r="Q296" s="12">
        <v>41931</v>
      </c>
      <c r="R296" s="15">
        <f t="shared" si="155"/>
        <v>4.0375000000000008E-2</v>
      </c>
      <c r="S296" s="4"/>
      <c r="T296" s="14">
        <v>292</v>
      </c>
      <c r="U296" s="12">
        <v>42296</v>
      </c>
      <c r="V296" s="15">
        <f t="shared" si="156"/>
        <v>4.0375000000000008E-2</v>
      </c>
      <c r="AA296" s="14">
        <v>292</v>
      </c>
      <c r="AB296" s="12">
        <v>41200</v>
      </c>
      <c r="AC296" s="15">
        <f t="shared" si="157"/>
        <v>5.7791666666666658E-2</v>
      </c>
      <c r="AI296" s="60">
        <v>292</v>
      </c>
      <c r="AJ296" s="58">
        <v>41931</v>
      </c>
      <c r="AK296" s="61">
        <f t="shared" si="158"/>
        <v>4.250000000000001E-2</v>
      </c>
      <c r="AL296" s="58">
        <v>42296</v>
      </c>
      <c r="AM296" s="61">
        <f t="shared" si="159"/>
        <v>4.250000000000001E-2</v>
      </c>
      <c r="AO296" s="58">
        <v>41931</v>
      </c>
      <c r="AP296" s="61">
        <f t="shared" si="160"/>
        <v>4.9166666666666664E-2</v>
      </c>
      <c r="AQ296" s="58">
        <v>42296</v>
      </c>
      <c r="AR296" s="61">
        <f t="shared" si="161"/>
        <v>3.9166666666666662E-2</v>
      </c>
    </row>
    <row r="297" spans="4:44">
      <c r="D297" s="14">
        <v>293</v>
      </c>
      <c r="E297" s="12">
        <v>41567</v>
      </c>
      <c r="F297" s="15">
        <f t="shared" si="152"/>
        <v>5.4625E-2</v>
      </c>
      <c r="H297" s="14">
        <v>293</v>
      </c>
      <c r="I297" s="12">
        <v>41932</v>
      </c>
      <c r="J297" s="15">
        <f t="shared" si="153"/>
        <v>5.1458333333333328E-2</v>
      </c>
      <c r="K297" s="4"/>
      <c r="L297" s="14">
        <v>293</v>
      </c>
      <c r="M297" s="12">
        <v>42297</v>
      </c>
      <c r="N297" s="15">
        <f t="shared" si="154"/>
        <v>4.354166666666668E-2</v>
      </c>
      <c r="O297" s="31"/>
      <c r="P297" s="14">
        <v>293</v>
      </c>
      <c r="Q297" s="12">
        <v>41932</v>
      </c>
      <c r="R297" s="15">
        <f t="shared" si="155"/>
        <v>4.0375000000000008E-2</v>
      </c>
      <c r="S297" s="4"/>
      <c r="T297" s="14">
        <v>293</v>
      </c>
      <c r="U297" s="12">
        <v>42297</v>
      </c>
      <c r="V297" s="15">
        <f t="shared" si="156"/>
        <v>4.0375000000000008E-2</v>
      </c>
      <c r="AA297" s="14">
        <v>293</v>
      </c>
      <c r="AB297" s="12">
        <v>41201</v>
      </c>
      <c r="AC297" s="15">
        <f t="shared" si="157"/>
        <v>5.7791666666666658E-2</v>
      </c>
      <c r="AI297" s="60">
        <v>293</v>
      </c>
      <c r="AJ297" s="58">
        <v>41932</v>
      </c>
      <c r="AK297" s="61">
        <f t="shared" si="158"/>
        <v>4.250000000000001E-2</v>
      </c>
      <c r="AL297" s="58">
        <v>42297</v>
      </c>
      <c r="AM297" s="61">
        <f t="shared" si="159"/>
        <v>4.250000000000001E-2</v>
      </c>
      <c r="AO297" s="58">
        <v>41932</v>
      </c>
      <c r="AP297" s="61">
        <f t="shared" si="160"/>
        <v>4.9166666666666664E-2</v>
      </c>
      <c r="AQ297" s="58">
        <v>42297</v>
      </c>
      <c r="AR297" s="61">
        <f t="shared" si="161"/>
        <v>3.9166666666666662E-2</v>
      </c>
    </row>
    <row r="298" spans="4:44">
      <c r="D298" s="14">
        <v>294</v>
      </c>
      <c r="E298" s="12">
        <v>41568</v>
      </c>
      <c r="F298" s="29">
        <f t="shared" ref="F298:F308" si="162">F$268+F$4/D$4/100</f>
        <v>5.7499999999999996E-2</v>
      </c>
      <c r="H298" s="14">
        <v>294</v>
      </c>
      <c r="I298" s="12">
        <v>41933</v>
      </c>
      <c r="J298" s="29">
        <f t="shared" ref="J298:J308" si="163">J$268+J$4/H$4/100</f>
        <v>5.4166666666666662E-2</v>
      </c>
      <c r="K298" s="4"/>
      <c r="L298" s="14">
        <v>294</v>
      </c>
      <c r="M298" s="12">
        <v>42298</v>
      </c>
      <c r="N298" s="29">
        <f t="shared" ref="N298:N308" si="164">N$268+N$4/L$4/100</f>
        <v>4.5833333333333344E-2</v>
      </c>
      <c r="O298" s="31"/>
      <c r="P298" s="14">
        <v>294</v>
      </c>
      <c r="Q298" s="12">
        <v>41933</v>
      </c>
      <c r="R298" s="29">
        <f t="shared" ref="R298:R308" si="165">R$268+R$4/P$4/100</f>
        <v>4.250000000000001E-2</v>
      </c>
      <c r="S298" s="4"/>
      <c r="T298" s="14">
        <v>294</v>
      </c>
      <c r="U298" s="12">
        <v>42298</v>
      </c>
      <c r="V298" s="29">
        <f t="shared" ref="V298:V308" si="166">V$268+V$4/T$4/100</f>
        <v>4.250000000000001E-2</v>
      </c>
      <c r="AA298" s="30">
        <v>294</v>
      </c>
      <c r="AB298" s="12">
        <v>41202</v>
      </c>
      <c r="AC298" s="15">
        <f t="shared" si="157"/>
        <v>5.7791666666666658E-2</v>
      </c>
      <c r="AI298" s="60">
        <v>294</v>
      </c>
      <c r="AJ298" s="58">
        <v>41933</v>
      </c>
      <c r="AK298" s="61">
        <f t="shared" si="158"/>
        <v>4.250000000000001E-2</v>
      </c>
      <c r="AL298" s="58">
        <v>42298</v>
      </c>
      <c r="AM298" s="61">
        <f t="shared" si="159"/>
        <v>4.250000000000001E-2</v>
      </c>
      <c r="AO298" s="58">
        <v>41933</v>
      </c>
      <c r="AP298" s="61">
        <f t="shared" si="160"/>
        <v>4.9166666666666664E-2</v>
      </c>
      <c r="AQ298" s="58">
        <v>42298</v>
      </c>
      <c r="AR298" s="61">
        <f t="shared" si="161"/>
        <v>3.9166666666666662E-2</v>
      </c>
    </row>
    <row r="299" spans="4:44">
      <c r="D299" s="14">
        <v>295</v>
      </c>
      <c r="E299" s="12">
        <v>41569</v>
      </c>
      <c r="F299" s="15">
        <f t="shared" si="162"/>
        <v>5.7499999999999996E-2</v>
      </c>
      <c r="H299" s="14">
        <v>295</v>
      </c>
      <c r="I299" s="12">
        <v>41934</v>
      </c>
      <c r="J299" s="15">
        <f t="shared" si="163"/>
        <v>5.4166666666666662E-2</v>
      </c>
      <c r="K299" s="4"/>
      <c r="L299" s="14">
        <v>295</v>
      </c>
      <c r="M299" s="12">
        <v>42299</v>
      </c>
      <c r="N299" s="15">
        <f t="shared" si="164"/>
        <v>4.5833333333333344E-2</v>
      </c>
      <c r="O299" s="31"/>
      <c r="P299" s="14">
        <v>295</v>
      </c>
      <c r="Q299" s="12">
        <v>41934</v>
      </c>
      <c r="R299" s="15">
        <f t="shared" si="165"/>
        <v>4.250000000000001E-2</v>
      </c>
      <c r="S299" s="4"/>
      <c r="T299" s="14">
        <v>295</v>
      </c>
      <c r="U299" s="12">
        <v>42299</v>
      </c>
      <c r="V299" s="15">
        <f t="shared" si="166"/>
        <v>4.250000000000001E-2</v>
      </c>
      <c r="AA299" s="30">
        <v>295</v>
      </c>
      <c r="AB299" s="28">
        <v>41203</v>
      </c>
      <c r="AC299" s="29">
        <f t="shared" ref="AC299:AC309" si="167">AC$269+AC$4/AA$4/100</f>
        <v>6.0833333333333323E-2</v>
      </c>
      <c r="AI299" s="60">
        <v>295</v>
      </c>
      <c r="AJ299" s="58">
        <v>41934</v>
      </c>
      <c r="AK299" s="61">
        <f t="shared" si="158"/>
        <v>4.250000000000001E-2</v>
      </c>
      <c r="AL299" s="58">
        <v>42299</v>
      </c>
      <c r="AM299" s="61">
        <f t="shared" si="159"/>
        <v>4.250000000000001E-2</v>
      </c>
      <c r="AO299" s="58">
        <v>41934</v>
      </c>
      <c r="AP299" s="61">
        <f t="shared" si="160"/>
        <v>4.9166666666666664E-2</v>
      </c>
      <c r="AQ299" s="58">
        <v>42299</v>
      </c>
      <c r="AR299" s="61">
        <f t="shared" si="161"/>
        <v>3.9166666666666662E-2</v>
      </c>
    </row>
    <row r="300" spans="4:44">
      <c r="D300" s="14">
        <v>296</v>
      </c>
      <c r="E300" s="12">
        <v>41570</v>
      </c>
      <c r="F300" s="15">
        <f t="shared" si="162"/>
        <v>5.7499999999999996E-2</v>
      </c>
      <c r="H300" s="14">
        <v>296</v>
      </c>
      <c r="I300" s="12">
        <v>41935</v>
      </c>
      <c r="J300" s="15">
        <f t="shared" si="163"/>
        <v>5.4166666666666662E-2</v>
      </c>
      <c r="K300" s="4"/>
      <c r="L300" s="14">
        <v>296</v>
      </c>
      <c r="M300" s="12">
        <v>42300</v>
      </c>
      <c r="N300" s="15">
        <f t="shared" si="164"/>
        <v>4.5833333333333344E-2</v>
      </c>
      <c r="O300" s="31"/>
      <c r="P300" s="14">
        <v>296</v>
      </c>
      <c r="Q300" s="12">
        <v>41935</v>
      </c>
      <c r="R300" s="15">
        <f t="shared" si="165"/>
        <v>4.250000000000001E-2</v>
      </c>
      <c r="S300" s="4"/>
      <c r="T300" s="14">
        <v>296</v>
      </c>
      <c r="U300" s="12">
        <v>42300</v>
      </c>
      <c r="V300" s="15">
        <f t="shared" si="166"/>
        <v>4.250000000000001E-2</v>
      </c>
      <c r="AA300" s="14">
        <v>296</v>
      </c>
      <c r="AB300" s="12">
        <v>41204</v>
      </c>
      <c r="AC300" s="15">
        <f t="shared" si="167"/>
        <v>6.0833333333333323E-2</v>
      </c>
      <c r="AI300" s="60">
        <v>296</v>
      </c>
      <c r="AJ300" s="58">
        <v>41935</v>
      </c>
      <c r="AK300" s="61">
        <f t="shared" si="158"/>
        <v>4.250000000000001E-2</v>
      </c>
      <c r="AL300" s="58">
        <v>42300</v>
      </c>
      <c r="AM300" s="61">
        <f t="shared" si="159"/>
        <v>4.250000000000001E-2</v>
      </c>
      <c r="AO300" s="58">
        <v>41935</v>
      </c>
      <c r="AP300" s="61">
        <f t="shared" si="160"/>
        <v>4.9166666666666664E-2</v>
      </c>
      <c r="AQ300" s="58">
        <v>42300</v>
      </c>
      <c r="AR300" s="61">
        <f t="shared" si="161"/>
        <v>3.9166666666666662E-2</v>
      </c>
    </row>
    <row r="301" spans="4:44">
      <c r="D301" s="14">
        <v>297</v>
      </c>
      <c r="E301" s="12">
        <v>41571</v>
      </c>
      <c r="F301" s="15">
        <f t="shared" si="162"/>
        <v>5.7499999999999996E-2</v>
      </c>
      <c r="H301" s="14">
        <v>297</v>
      </c>
      <c r="I301" s="12">
        <v>41936</v>
      </c>
      <c r="J301" s="15">
        <f t="shared" si="163"/>
        <v>5.4166666666666662E-2</v>
      </c>
      <c r="K301" s="4"/>
      <c r="L301" s="14">
        <v>297</v>
      </c>
      <c r="M301" s="12">
        <v>42301</v>
      </c>
      <c r="N301" s="15">
        <f t="shared" si="164"/>
        <v>4.5833333333333344E-2</v>
      </c>
      <c r="O301" s="31"/>
      <c r="P301" s="14">
        <v>297</v>
      </c>
      <c r="Q301" s="12">
        <v>41936</v>
      </c>
      <c r="R301" s="15">
        <f t="shared" si="165"/>
        <v>4.250000000000001E-2</v>
      </c>
      <c r="S301" s="4"/>
      <c r="T301" s="14">
        <v>297</v>
      </c>
      <c r="U301" s="12">
        <v>42301</v>
      </c>
      <c r="V301" s="15">
        <f t="shared" si="166"/>
        <v>4.250000000000001E-2</v>
      </c>
      <c r="AA301" s="14">
        <v>297</v>
      </c>
      <c r="AB301" s="12">
        <v>41205</v>
      </c>
      <c r="AC301" s="15">
        <f t="shared" si="167"/>
        <v>6.0833333333333323E-2</v>
      </c>
      <c r="AI301" s="60">
        <v>297</v>
      </c>
      <c r="AJ301" s="58">
        <v>41936</v>
      </c>
      <c r="AK301" s="61">
        <f t="shared" si="158"/>
        <v>4.250000000000001E-2</v>
      </c>
      <c r="AL301" s="58">
        <v>42301</v>
      </c>
      <c r="AM301" s="61">
        <f t="shared" si="159"/>
        <v>4.250000000000001E-2</v>
      </c>
      <c r="AO301" s="58">
        <v>41936</v>
      </c>
      <c r="AP301" s="61">
        <f t="shared" si="160"/>
        <v>4.9166666666666664E-2</v>
      </c>
      <c r="AQ301" s="58">
        <v>42301</v>
      </c>
      <c r="AR301" s="61">
        <f t="shared" si="161"/>
        <v>3.9166666666666662E-2</v>
      </c>
    </row>
    <row r="302" spans="4:44">
      <c r="D302" s="14">
        <v>298</v>
      </c>
      <c r="E302" s="12">
        <v>41572</v>
      </c>
      <c r="F302" s="15">
        <f t="shared" si="162"/>
        <v>5.7499999999999996E-2</v>
      </c>
      <c r="H302" s="14">
        <v>298</v>
      </c>
      <c r="I302" s="12">
        <v>41937</v>
      </c>
      <c r="J302" s="15">
        <f t="shared" si="163"/>
        <v>5.4166666666666662E-2</v>
      </c>
      <c r="K302" s="4"/>
      <c r="L302" s="14">
        <v>298</v>
      </c>
      <c r="M302" s="12">
        <v>42302</v>
      </c>
      <c r="N302" s="15">
        <f t="shared" si="164"/>
        <v>4.5833333333333344E-2</v>
      </c>
      <c r="O302" s="31"/>
      <c r="P302" s="14">
        <v>298</v>
      </c>
      <c r="Q302" s="12">
        <v>41937</v>
      </c>
      <c r="R302" s="15">
        <f t="shared" si="165"/>
        <v>4.250000000000001E-2</v>
      </c>
      <c r="S302" s="4"/>
      <c r="T302" s="14">
        <v>298</v>
      </c>
      <c r="U302" s="12">
        <v>42302</v>
      </c>
      <c r="V302" s="15">
        <f t="shared" si="166"/>
        <v>4.250000000000001E-2</v>
      </c>
      <c r="AA302" s="14">
        <v>298</v>
      </c>
      <c r="AB302" s="12">
        <v>41206</v>
      </c>
      <c r="AC302" s="15">
        <f t="shared" si="167"/>
        <v>6.0833333333333323E-2</v>
      </c>
      <c r="AI302" s="60">
        <v>298</v>
      </c>
      <c r="AJ302" s="58">
        <v>41937</v>
      </c>
      <c r="AK302" s="61">
        <f t="shared" si="158"/>
        <v>4.250000000000001E-2</v>
      </c>
      <c r="AL302" s="58">
        <v>42302</v>
      </c>
      <c r="AM302" s="61">
        <f t="shared" si="159"/>
        <v>4.250000000000001E-2</v>
      </c>
      <c r="AO302" s="58">
        <v>41937</v>
      </c>
      <c r="AP302" s="61">
        <f t="shared" si="160"/>
        <v>4.9166666666666664E-2</v>
      </c>
      <c r="AQ302" s="58">
        <v>42302</v>
      </c>
      <c r="AR302" s="61">
        <f t="shared" si="161"/>
        <v>3.9166666666666662E-2</v>
      </c>
    </row>
    <row r="303" spans="4:44">
      <c r="D303" s="14">
        <v>299</v>
      </c>
      <c r="E303" s="12">
        <v>41573</v>
      </c>
      <c r="F303" s="15">
        <f t="shared" si="162"/>
        <v>5.7499999999999996E-2</v>
      </c>
      <c r="H303" s="14">
        <v>299</v>
      </c>
      <c r="I303" s="12">
        <v>41938</v>
      </c>
      <c r="J303" s="15">
        <f t="shared" si="163"/>
        <v>5.4166666666666662E-2</v>
      </c>
      <c r="K303" s="4"/>
      <c r="L303" s="14">
        <v>299</v>
      </c>
      <c r="M303" s="12">
        <v>42303</v>
      </c>
      <c r="N303" s="15">
        <f t="shared" si="164"/>
        <v>4.5833333333333344E-2</v>
      </c>
      <c r="O303" s="31"/>
      <c r="P303" s="14">
        <v>299</v>
      </c>
      <c r="Q303" s="12">
        <v>41938</v>
      </c>
      <c r="R303" s="15">
        <f t="shared" si="165"/>
        <v>4.250000000000001E-2</v>
      </c>
      <c r="S303" s="4"/>
      <c r="T303" s="14">
        <v>299</v>
      </c>
      <c r="U303" s="12">
        <v>42303</v>
      </c>
      <c r="V303" s="15">
        <f t="shared" si="166"/>
        <v>4.250000000000001E-2</v>
      </c>
      <c r="AA303" s="14">
        <v>299</v>
      </c>
      <c r="AB303" s="12">
        <v>41207</v>
      </c>
      <c r="AC303" s="15">
        <f t="shared" si="167"/>
        <v>6.0833333333333323E-2</v>
      </c>
      <c r="AI303" s="60">
        <v>299</v>
      </c>
      <c r="AJ303" s="58">
        <v>41938</v>
      </c>
      <c r="AK303" s="61">
        <f t="shared" si="158"/>
        <v>4.250000000000001E-2</v>
      </c>
      <c r="AL303" s="58">
        <v>42303</v>
      </c>
      <c r="AM303" s="61">
        <f t="shared" si="159"/>
        <v>4.250000000000001E-2</v>
      </c>
      <c r="AO303" s="58">
        <v>41938</v>
      </c>
      <c r="AP303" s="61">
        <f t="shared" si="160"/>
        <v>4.9166666666666664E-2</v>
      </c>
      <c r="AQ303" s="58">
        <v>42303</v>
      </c>
      <c r="AR303" s="61">
        <f t="shared" si="161"/>
        <v>3.9166666666666662E-2</v>
      </c>
    </row>
    <row r="304" spans="4:44">
      <c r="D304" s="14">
        <v>300</v>
      </c>
      <c r="E304" s="12">
        <v>41574</v>
      </c>
      <c r="F304" s="15">
        <f t="shared" si="162"/>
        <v>5.7499999999999996E-2</v>
      </c>
      <c r="H304" s="14">
        <v>300</v>
      </c>
      <c r="I304" s="12">
        <v>41939</v>
      </c>
      <c r="J304" s="15">
        <f t="shared" si="163"/>
        <v>5.4166666666666662E-2</v>
      </c>
      <c r="K304" s="4"/>
      <c r="L304" s="14">
        <v>300</v>
      </c>
      <c r="M304" s="12">
        <v>42304</v>
      </c>
      <c r="N304" s="15">
        <f t="shared" si="164"/>
        <v>4.5833333333333344E-2</v>
      </c>
      <c r="O304" s="31"/>
      <c r="P304" s="14">
        <v>300</v>
      </c>
      <c r="Q304" s="12">
        <v>41939</v>
      </c>
      <c r="R304" s="15">
        <f t="shared" si="165"/>
        <v>4.250000000000001E-2</v>
      </c>
      <c r="S304" s="4"/>
      <c r="T304" s="14">
        <v>300</v>
      </c>
      <c r="U304" s="12">
        <v>42304</v>
      </c>
      <c r="V304" s="15">
        <f t="shared" si="166"/>
        <v>4.250000000000001E-2</v>
      </c>
      <c r="AA304" s="14">
        <v>300</v>
      </c>
      <c r="AB304" s="12">
        <v>41208</v>
      </c>
      <c r="AC304" s="15">
        <f t="shared" si="167"/>
        <v>6.0833333333333323E-2</v>
      </c>
      <c r="AI304" s="60">
        <v>300</v>
      </c>
      <c r="AJ304" s="58">
        <v>41939</v>
      </c>
      <c r="AK304" s="61">
        <f t="shared" si="158"/>
        <v>4.250000000000001E-2</v>
      </c>
      <c r="AL304" s="58">
        <v>42304</v>
      </c>
      <c r="AM304" s="61">
        <f t="shared" si="159"/>
        <v>4.250000000000001E-2</v>
      </c>
      <c r="AO304" s="58">
        <v>41939</v>
      </c>
      <c r="AP304" s="61">
        <f t="shared" si="160"/>
        <v>4.9166666666666664E-2</v>
      </c>
      <c r="AQ304" s="58">
        <v>42304</v>
      </c>
      <c r="AR304" s="61">
        <f t="shared" si="161"/>
        <v>3.9166666666666662E-2</v>
      </c>
    </row>
    <row r="305" spans="4:44">
      <c r="D305" s="14">
        <v>301</v>
      </c>
      <c r="E305" s="12">
        <v>41575</v>
      </c>
      <c r="F305" s="15">
        <f t="shared" si="162"/>
        <v>5.7499999999999996E-2</v>
      </c>
      <c r="H305" s="14">
        <v>301</v>
      </c>
      <c r="I305" s="12">
        <v>41940</v>
      </c>
      <c r="J305" s="15">
        <f t="shared" si="163"/>
        <v>5.4166666666666662E-2</v>
      </c>
      <c r="K305" s="4"/>
      <c r="L305" s="14">
        <v>301</v>
      </c>
      <c r="M305" s="12">
        <v>42305</v>
      </c>
      <c r="N305" s="15">
        <f t="shared" si="164"/>
        <v>4.5833333333333344E-2</v>
      </c>
      <c r="O305" s="31"/>
      <c r="P305" s="14">
        <v>301</v>
      </c>
      <c r="Q305" s="12">
        <v>41940</v>
      </c>
      <c r="R305" s="15">
        <f t="shared" si="165"/>
        <v>4.250000000000001E-2</v>
      </c>
      <c r="S305" s="4"/>
      <c r="T305" s="14">
        <v>301</v>
      </c>
      <c r="U305" s="12">
        <v>42305</v>
      </c>
      <c r="V305" s="15">
        <f t="shared" si="166"/>
        <v>4.250000000000001E-2</v>
      </c>
      <c r="AA305" s="14">
        <v>301</v>
      </c>
      <c r="AB305" s="12">
        <v>41209</v>
      </c>
      <c r="AC305" s="15">
        <f t="shared" si="167"/>
        <v>6.0833333333333323E-2</v>
      </c>
      <c r="AI305" s="60">
        <v>301</v>
      </c>
      <c r="AJ305" s="58">
        <v>41940</v>
      </c>
      <c r="AK305" s="61">
        <f t="shared" si="158"/>
        <v>4.250000000000001E-2</v>
      </c>
      <c r="AL305" s="58">
        <v>42305</v>
      </c>
      <c r="AM305" s="61">
        <f t="shared" si="159"/>
        <v>4.250000000000001E-2</v>
      </c>
      <c r="AO305" s="58">
        <v>41940</v>
      </c>
      <c r="AP305" s="61">
        <f t="shared" si="160"/>
        <v>4.9166666666666664E-2</v>
      </c>
      <c r="AQ305" s="58">
        <v>42305</v>
      </c>
      <c r="AR305" s="61">
        <f t="shared" si="161"/>
        <v>3.9166666666666662E-2</v>
      </c>
    </row>
    <row r="306" spans="4:44">
      <c r="D306" s="14">
        <v>302</v>
      </c>
      <c r="E306" s="12">
        <v>41576</v>
      </c>
      <c r="F306" s="15">
        <f t="shared" si="162"/>
        <v>5.7499999999999996E-2</v>
      </c>
      <c r="H306" s="14">
        <v>302</v>
      </c>
      <c r="I306" s="12">
        <v>41941</v>
      </c>
      <c r="J306" s="15">
        <f t="shared" si="163"/>
        <v>5.4166666666666662E-2</v>
      </c>
      <c r="K306" s="4"/>
      <c r="L306" s="14">
        <v>302</v>
      </c>
      <c r="M306" s="12">
        <v>42306</v>
      </c>
      <c r="N306" s="15">
        <f t="shared" si="164"/>
        <v>4.5833333333333344E-2</v>
      </c>
      <c r="O306" s="31"/>
      <c r="P306" s="14">
        <v>302</v>
      </c>
      <c r="Q306" s="12">
        <v>41941</v>
      </c>
      <c r="R306" s="15">
        <f t="shared" si="165"/>
        <v>4.250000000000001E-2</v>
      </c>
      <c r="S306" s="4"/>
      <c r="T306" s="14">
        <v>302</v>
      </c>
      <c r="U306" s="12">
        <v>42306</v>
      </c>
      <c r="V306" s="15">
        <f t="shared" si="166"/>
        <v>4.250000000000001E-2</v>
      </c>
      <c r="AA306" s="14">
        <v>302</v>
      </c>
      <c r="AB306" s="12">
        <v>41210</v>
      </c>
      <c r="AC306" s="15">
        <f t="shared" si="167"/>
        <v>6.0833333333333323E-2</v>
      </c>
      <c r="AI306" s="60">
        <v>302</v>
      </c>
      <c r="AJ306" s="58">
        <v>41941</v>
      </c>
      <c r="AK306" s="61">
        <f t="shared" si="158"/>
        <v>4.250000000000001E-2</v>
      </c>
      <c r="AL306" s="58">
        <v>42306</v>
      </c>
      <c r="AM306" s="61">
        <f t="shared" si="159"/>
        <v>4.250000000000001E-2</v>
      </c>
      <c r="AO306" s="58">
        <v>41941</v>
      </c>
      <c r="AP306" s="61">
        <f t="shared" si="160"/>
        <v>4.9166666666666664E-2</v>
      </c>
      <c r="AQ306" s="58">
        <v>42306</v>
      </c>
      <c r="AR306" s="61">
        <f t="shared" si="161"/>
        <v>3.9166666666666662E-2</v>
      </c>
    </row>
    <row r="307" spans="4:44">
      <c r="D307" s="14">
        <v>303</v>
      </c>
      <c r="E307" s="12">
        <v>41577</v>
      </c>
      <c r="F307" s="15">
        <f t="shared" si="162"/>
        <v>5.7499999999999996E-2</v>
      </c>
      <c r="H307" s="14">
        <v>303</v>
      </c>
      <c r="I307" s="12">
        <v>41942</v>
      </c>
      <c r="J307" s="15">
        <f t="shared" si="163"/>
        <v>5.4166666666666662E-2</v>
      </c>
      <c r="K307" s="4"/>
      <c r="L307" s="14">
        <v>303</v>
      </c>
      <c r="M307" s="12">
        <v>42307</v>
      </c>
      <c r="N307" s="15">
        <f t="shared" si="164"/>
        <v>4.5833333333333344E-2</v>
      </c>
      <c r="O307" s="31"/>
      <c r="P307" s="14">
        <v>303</v>
      </c>
      <c r="Q307" s="12">
        <v>41942</v>
      </c>
      <c r="R307" s="15">
        <f t="shared" si="165"/>
        <v>4.250000000000001E-2</v>
      </c>
      <c r="S307" s="4"/>
      <c r="T307" s="14">
        <v>303</v>
      </c>
      <c r="U307" s="12">
        <v>42307</v>
      </c>
      <c r="V307" s="15">
        <f t="shared" si="166"/>
        <v>4.250000000000001E-2</v>
      </c>
      <c r="AA307" s="14">
        <v>303</v>
      </c>
      <c r="AB307" s="12">
        <v>41211</v>
      </c>
      <c r="AC307" s="15">
        <f t="shared" si="167"/>
        <v>6.0833333333333323E-2</v>
      </c>
      <c r="AI307" s="60">
        <v>303</v>
      </c>
      <c r="AJ307" s="58">
        <v>41942</v>
      </c>
      <c r="AK307" s="61">
        <f t="shared" si="158"/>
        <v>4.250000000000001E-2</v>
      </c>
      <c r="AL307" s="58">
        <v>42307</v>
      </c>
      <c r="AM307" s="61">
        <f t="shared" si="159"/>
        <v>4.250000000000001E-2</v>
      </c>
      <c r="AO307" s="58">
        <v>41942</v>
      </c>
      <c r="AP307" s="61">
        <f t="shared" si="160"/>
        <v>4.9166666666666664E-2</v>
      </c>
      <c r="AQ307" s="58">
        <v>42307</v>
      </c>
      <c r="AR307" s="61">
        <f t="shared" si="161"/>
        <v>3.9166666666666662E-2</v>
      </c>
    </row>
    <row r="308" spans="4:44">
      <c r="D308" s="14">
        <v>304</v>
      </c>
      <c r="E308" s="12">
        <v>41578</v>
      </c>
      <c r="F308" s="15">
        <f t="shared" si="162"/>
        <v>5.7499999999999996E-2</v>
      </c>
      <c r="H308" s="14">
        <v>304</v>
      </c>
      <c r="I308" s="12">
        <v>41943</v>
      </c>
      <c r="J308" s="15">
        <f t="shared" si="163"/>
        <v>5.4166666666666662E-2</v>
      </c>
      <c r="K308" s="4"/>
      <c r="L308" s="14">
        <v>304</v>
      </c>
      <c r="M308" s="12">
        <v>42308</v>
      </c>
      <c r="N308" s="15">
        <f t="shared" si="164"/>
        <v>4.5833333333333344E-2</v>
      </c>
      <c r="O308" s="31"/>
      <c r="P308" s="14">
        <v>304</v>
      </c>
      <c r="Q308" s="12">
        <v>41943</v>
      </c>
      <c r="R308" s="15">
        <f t="shared" si="165"/>
        <v>4.250000000000001E-2</v>
      </c>
      <c r="S308" s="4"/>
      <c r="T308" s="14">
        <v>304</v>
      </c>
      <c r="U308" s="12">
        <v>42308</v>
      </c>
      <c r="V308" s="15">
        <f t="shared" si="166"/>
        <v>4.250000000000001E-2</v>
      </c>
      <c r="AA308" s="14">
        <v>304</v>
      </c>
      <c r="AB308" s="12">
        <v>41212</v>
      </c>
      <c r="AC308" s="15">
        <f t="shared" si="167"/>
        <v>6.0833333333333323E-2</v>
      </c>
      <c r="AI308" s="60">
        <v>304</v>
      </c>
      <c r="AJ308" s="58">
        <v>41943</v>
      </c>
      <c r="AK308" s="61">
        <f t="shared" si="158"/>
        <v>4.250000000000001E-2</v>
      </c>
      <c r="AL308" s="58">
        <v>42308</v>
      </c>
      <c r="AM308" s="61">
        <f t="shared" si="159"/>
        <v>4.250000000000001E-2</v>
      </c>
      <c r="AO308" s="58">
        <v>41943</v>
      </c>
      <c r="AP308" s="61">
        <f t="shared" si="160"/>
        <v>4.9166666666666664E-2</v>
      </c>
      <c r="AQ308" s="58">
        <v>42308</v>
      </c>
      <c r="AR308" s="61">
        <f t="shared" si="161"/>
        <v>3.9166666666666662E-2</v>
      </c>
    </row>
    <row r="309" spans="4:44">
      <c r="D309" s="14">
        <v>305</v>
      </c>
      <c r="E309" s="12">
        <v>41579</v>
      </c>
      <c r="F309" s="29">
        <f t="shared" ref="F309:F328" si="168">F$278+F$4/D$4/100</f>
        <v>6.0374999999999998E-2</v>
      </c>
      <c r="H309" s="14">
        <v>305</v>
      </c>
      <c r="I309" s="12">
        <v>41944</v>
      </c>
      <c r="J309" s="29">
        <f t="shared" ref="J309:J328" si="169">J$278+J$4/H$4/100</f>
        <v>5.6874999999999995E-2</v>
      </c>
      <c r="K309" s="4"/>
      <c r="L309" s="14">
        <v>305</v>
      </c>
      <c r="M309" s="12">
        <v>42309</v>
      </c>
      <c r="N309" s="29">
        <f t="shared" ref="N309:N328" si="170">N$278+N$4/L$4/100</f>
        <v>4.8125000000000015E-2</v>
      </c>
      <c r="O309" s="31"/>
      <c r="P309" s="14">
        <v>305</v>
      </c>
      <c r="Q309" s="12">
        <v>41944</v>
      </c>
      <c r="R309" s="29">
        <f t="shared" ref="R309:R328" si="171">R$278+R$4/P$4/100</f>
        <v>4.4625000000000012E-2</v>
      </c>
      <c r="S309" s="4"/>
      <c r="T309" s="14">
        <v>305</v>
      </c>
      <c r="U309" s="12">
        <v>42309</v>
      </c>
      <c r="V309" s="29">
        <f t="shared" ref="V309:V328" si="172">V$278+V$4/T$4/100</f>
        <v>4.4625000000000012E-2</v>
      </c>
      <c r="AA309" s="30">
        <v>305</v>
      </c>
      <c r="AB309" s="12">
        <v>41213</v>
      </c>
      <c r="AC309" s="15">
        <f t="shared" si="167"/>
        <v>6.0833333333333323E-2</v>
      </c>
      <c r="AI309" s="60">
        <v>305</v>
      </c>
      <c r="AJ309" s="63">
        <v>41944</v>
      </c>
      <c r="AK309" s="61">
        <f t="shared" si="158"/>
        <v>4.250000000000001E-2</v>
      </c>
      <c r="AL309" s="58">
        <v>42309</v>
      </c>
      <c r="AM309" s="61">
        <f t="shared" si="159"/>
        <v>4.250000000000001E-2</v>
      </c>
      <c r="AO309" s="63">
        <v>41944</v>
      </c>
      <c r="AP309" s="61">
        <f t="shared" si="160"/>
        <v>4.9166666666666664E-2</v>
      </c>
      <c r="AQ309" s="58">
        <v>42309</v>
      </c>
      <c r="AR309" s="61">
        <f t="shared" si="161"/>
        <v>3.9166666666666662E-2</v>
      </c>
    </row>
    <row r="310" spans="4:44">
      <c r="D310" s="14">
        <v>306</v>
      </c>
      <c r="E310" s="12">
        <v>41580</v>
      </c>
      <c r="F310" s="15">
        <f t="shared" si="168"/>
        <v>6.0374999999999998E-2</v>
      </c>
      <c r="H310" s="14">
        <v>306</v>
      </c>
      <c r="I310" s="12">
        <v>41945</v>
      </c>
      <c r="J310" s="15">
        <f t="shared" si="169"/>
        <v>5.6874999999999995E-2</v>
      </c>
      <c r="K310" s="4"/>
      <c r="L310" s="14">
        <v>306</v>
      </c>
      <c r="M310" s="12">
        <v>42310</v>
      </c>
      <c r="N310" s="15">
        <f t="shared" si="170"/>
        <v>4.8125000000000015E-2</v>
      </c>
      <c r="O310" s="31"/>
      <c r="P310" s="14">
        <v>306</v>
      </c>
      <c r="Q310" s="12">
        <v>41945</v>
      </c>
      <c r="R310" s="15">
        <f t="shared" si="171"/>
        <v>4.4625000000000012E-2</v>
      </c>
      <c r="S310" s="4"/>
      <c r="T310" s="14">
        <v>306</v>
      </c>
      <c r="U310" s="12">
        <v>42310</v>
      </c>
      <c r="V310" s="15">
        <f t="shared" si="172"/>
        <v>4.4625000000000012E-2</v>
      </c>
      <c r="AA310" s="30">
        <v>306</v>
      </c>
      <c r="AB310" s="28">
        <v>41214</v>
      </c>
      <c r="AC310" s="29">
        <f t="shared" ref="AC310:AC329" si="173">AC$279+AC$4/AA$4/100</f>
        <v>6.3874999999999987E-2</v>
      </c>
      <c r="AI310" s="60">
        <v>306</v>
      </c>
      <c r="AJ310" s="58">
        <v>41945</v>
      </c>
      <c r="AK310" s="61">
        <f t="shared" si="158"/>
        <v>4.250000000000001E-2</v>
      </c>
      <c r="AL310" s="58">
        <v>42310</v>
      </c>
      <c r="AM310" s="61">
        <f t="shared" si="159"/>
        <v>4.250000000000001E-2</v>
      </c>
      <c r="AO310" s="58">
        <v>41945</v>
      </c>
      <c r="AP310" s="61">
        <f t="shared" si="160"/>
        <v>4.9166666666666664E-2</v>
      </c>
      <c r="AQ310" s="58">
        <v>42310</v>
      </c>
      <c r="AR310" s="61">
        <f t="shared" si="161"/>
        <v>3.9166666666666662E-2</v>
      </c>
    </row>
    <row r="311" spans="4:44">
      <c r="D311" s="14">
        <v>307</v>
      </c>
      <c r="E311" s="12">
        <v>41581</v>
      </c>
      <c r="F311" s="15">
        <f t="shared" si="168"/>
        <v>6.0374999999999998E-2</v>
      </c>
      <c r="H311" s="14">
        <v>307</v>
      </c>
      <c r="I311" s="12">
        <v>41946</v>
      </c>
      <c r="J311" s="15">
        <f t="shared" si="169"/>
        <v>5.6874999999999995E-2</v>
      </c>
      <c r="K311" s="4"/>
      <c r="L311" s="14">
        <v>307</v>
      </c>
      <c r="M311" s="12">
        <v>42311</v>
      </c>
      <c r="N311" s="15">
        <f t="shared" si="170"/>
        <v>4.8125000000000015E-2</v>
      </c>
      <c r="O311" s="31"/>
      <c r="P311" s="14">
        <v>307</v>
      </c>
      <c r="Q311" s="12">
        <v>41946</v>
      </c>
      <c r="R311" s="15">
        <f t="shared" si="171"/>
        <v>4.4625000000000012E-2</v>
      </c>
      <c r="S311" s="4"/>
      <c r="T311" s="14">
        <v>307</v>
      </c>
      <c r="U311" s="12">
        <v>42311</v>
      </c>
      <c r="V311" s="15">
        <f t="shared" si="172"/>
        <v>4.4625000000000012E-2</v>
      </c>
      <c r="AA311" s="14">
        <v>307</v>
      </c>
      <c r="AB311" s="12">
        <v>41215</v>
      </c>
      <c r="AC311" s="15">
        <f t="shared" si="173"/>
        <v>6.3874999999999987E-2</v>
      </c>
      <c r="AI311" s="60">
        <v>307</v>
      </c>
      <c r="AJ311" s="58">
        <v>41946</v>
      </c>
      <c r="AK311" s="61">
        <f t="shared" si="158"/>
        <v>4.250000000000001E-2</v>
      </c>
      <c r="AL311" s="58">
        <v>42311</v>
      </c>
      <c r="AM311" s="61">
        <f t="shared" si="159"/>
        <v>4.250000000000001E-2</v>
      </c>
      <c r="AO311" s="58">
        <v>41946</v>
      </c>
      <c r="AP311" s="61">
        <f t="shared" si="160"/>
        <v>4.9166666666666664E-2</v>
      </c>
      <c r="AQ311" s="58">
        <v>42311</v>
      </c>
      <c r="AR311" s="61">
        <f t="shared" si="161"/>
        <v>3.9166666666666662E-2</v>
      </c>
    </row>
    <row r="312" spans="4:44">
      <c r="D312" s="14">
        <v>308</v>
      </c>
      <c r="E312" s="12">
        <v>41582</v>
      </c>
      <c r="F312" s="15">
        <f t="shared" si="168"/>
        <v>6.0374999999999998E-2</v>
      </c>
      <c r="H312" s="14">
        <v>308</v>
      </c>
      <c r="I312" s="12">
        <v>41947</v>
      </c>
      <c r="J312" s="15">
        <f t="shared" si="169"/>
        <v>5.6874999999999995E-2</v>
      </c>
      <c r="K312" s="4"/>
      <c r="L312" s="14">
        <v>308</v>
      </c>
      <c r="M312" s="12">
        <v>42312</v>
      </c>
      <c r="N312" s="15">
        <f t="shared" si="170"/>
        <v>4.8125000000000015E-2</v>
      </c>
      <c r="O312" s="31"/>
      <c r="P312" s="14">
        <v>308</v>
      </c>
      <c r="Q312" s="12">
        <v>41947</v>
      </c>
      <c r="R312" s="15">
        <f t="shared" si="171"/>
        <v>4.4625000000000012E-2</v>
      </c>
      <c r="S312" s="4"/>
      <c r="T312" s="14">
        <v>308</v>
      </c>
      <c r="U312" s="12">
        <v>42312</v>
      </c>
      <c r="V312" s="15">
        <f t="shared" si="172"/>
        <v>4.4625000000000012E-2</v>
      </c>
      <c r="AA312" s="14">
        <v>308</v>
      </c>
      <c r="AB312" s="12">
        <v>41216</v>
      </c>
      <c r="AC312" s="15">
        <f t="shared" si="173"/>
        <v>6.3874999999999987E-2</v>
      </c>
      <c r="AI312" s="60">
        <v>308</v>
      </c>
      <c r="AJ312" s="58">
        <v>41947</v>
      </c>
      <c r="AK312" s="61">
        <f t="shared" si="158"/>
        <v>4.250000000000001E-2</v>
      </c>
      <c r="AL312" s="58">
        <v>42312</v>
      </c>
      <c r="AM312" s="61">
        <f t="shared" si="159"/>
        <v>4.250000000000001E-2</v>
      </c>
      <c r="AO312" s="58">
        <v>41947</v>
      </c>
      <c r="AP312" s="61">
        <f t="shared" si="160"/>
        <v>4.9166666666666664E-2</v>
      </c>
      <c r="AQ312" s="58">
        <v>42312</v>
      </c>
      <c r="AR312" s="61">
        <f t="shared" si="161"/>
        <v>3.9166666666666662E-2</v>
      </c>
    </row>
    <row r="313" spans="4:44">
      <c r="D313" s="14">
        <v>309</v>
      </c>
      <c r="E313" s="12">
        <v>41583</v>
      </c>
      <c r="F313" s="15">
        <f t="shared" si="168"/>
        <v>6.0374999999999998E-2</v>
      </c>
      <c r="H313" s="14">
        <v>309</v>
      </c>
      <c r="I313" s="12">
        <v>41948</v>
      </c>
      <c r="J313" s="15">
        <f t="shared" si="169"/>
        <v>5.6874999999999995E-2</v>
      </c>
      <c r="K313" s="4"/>
      <c r="L313" s="14">
        <v>309</v>
      </c>
      <c r="M313" s="12">
        <v>42313</v>
      </c>
      <c r="N313" s="15">
        <f t="shared" si="170"/>
        <v>4.8125000000000015E-2</v>
      </c>
      <c r="O313" s="31"/>
      <c r="P313" s="14">
        <v>309</v>
      </c>
      <c r="Q313" s="12">
        <v>41948</v>
      </c>
      <c r="R313" s="15">
        <f t="shared" si="171"/>
        <v>4.4625000000000012E-2</v>
      </c>
      <c r="S313" s="4"/>
      <c r="T313" s="14">
        <v>309</v>
      </c>
      <c r="U313" s="12">
        <v>42313</v>
      </c>
      <c r="V313" s="15">
        <f t="shared" si="172"/>
        <v>4.4625000000000012E-2</v>
      </c>
      <c r="AA313" s="14">
        <v>309</v>
      </c>
      <c r="AB313" s="12">
        <v>41217</v>
      </c>
      <c r="AC313" s="15">
        <f t="shared" si="173"/>
        <v>6.3874999999999987E-2</v>
      </c>
      <c r="AI313" s="60">
        <v>309</v>
      </c>
      <c r="AJ313" s="58">
        <v>41948</v>
      </c>
      <c r="AK313" s="61">
        <f t="shared" si="158"/>
        <v>4.250000000000001E-2</v>
      </c>
      <c r="AL313" s="58">
        <v>42313</v>
      </c>
      <c r="AM313" s="61">
        <f t="shared" si="159"/>
        <v>4.250000000000001E-2</v>
      </c>
      <c r="AO313" s="58">
        <v>41948</v>
      </c>
      <c r="AP313" s="61">
        <f t="shared" si="160"/>
        <v>4.9166666666666664E-2</v>
      </c>
      <c r="AQ313" s="58">
        <v>42313</v>
      </c>
      <c r="AR313" s="61">
        <f t="shared" si="161"/>
        <v>3.9166666666666662E-2</v>
      </c>
    </row>
    <row r="314" spans="4:44">
      <c r="D314" s="14">
        <v>310</v>
      </c>
      <c r="E314" s="12">
        <v>41584</v>
      </c>
      <c r="F314" s="15">
        <f t="shared" si="168"/>
        <v>6.0374999999999998E-2</v>
      </c>
      <c r="H314" s="14">
        <v>310</v>
      </c>
      <c r="I314" s="12">
        <v>41949</v>
      </c>
      <c r="J314" s="15">
        <f t="shared" si="169"/>
        <v>5.6874999999999995E-2</v>
      </c>
      <c r="K314" s="4"/>
      <c r="L314" s="14">
        <v>310</v>
      </c>
      <c r="M314" s="12">
        <v>42314</v>
      </c>
      <c r="N314" s="15">
        <f t="shared" si="170"/>
        <v>4.8125000000000015E-2</v>
      </c>
      <c r="O314" s="31"/>
      <c r="P314" s="14">
        <v>310</v>
      </c>
      <c r="Q314" s="12">
        <v>41949</v>
      </c>
      <c r="R314" s="15">
        <f t="shared" si="171"/>
        <v>4.4625000000000012E-2</v>
      </c>
      <c r="S314" s="4"/>
      <c r="T314" s="14">
        <v>310</v>
      </c>
      <c r="U314" s="12">
        <v>42314</v>
      </c>
      <c r="V314" s="15">
        <f t="shared" si="172"/>
        <v>4.4625000000000012E-2</v>
      </c>
      <c r="AA314" s="14">
        <v>310</v>
      </c>
      <c r="AB314" s="12">
        <v>41218</v>
      </c>
      <c r="AC314" s="15">
        <f t="shared" si="173"/>
        <v>6.3874999999999987E-2</v>
      </c>
      <c r="AI314" s="60">
        <v>310</v>
      </c>
      <c r="AJ314" s="58">
        <v>41949</v>
      </c>
      <c r="AK314" s="64">
        <f t="shared" ref="AK314:AK343" si="174">AK$313+AK$4/AI$4/100</f>
        <v>4.6750000000000014E-2</v>
      </c>
      <c r="AL314" s="58">
        <v>42314</v>
      </c>
      <c r="AM314" s="64">
        <f t="shared" ref="AM314:AM343" si="175">AM$313+AM$4/AI$4/100</f>
        <v>4.6750000000000014E-2</v>
      </c>
      <c r="AO314" s="58">
        <v>41949</v>
      </c>
      <c r="AP314" s="64">
        <f t="shared" ref="AP314:AP343" si="176">AP$313+AP$4/AI$4/100</f>
        <v>5.408333333333333E-2</v>
      </c>
      <c r="AQ314" s="58">
        <v>42314</v>
      </c>
      <c r="AR314" s="64">
        <f t="shared" ref="AR314:AR343" si="177">AR$313+AR$4/AI$4/100</f>
        <v>4.3083333333333328E-2</v>
      </c>
    </row>
    <row r="315" spans="4:44">
      <c r="D315" s="14">
        <v>311</v>
      </c>
      <c r="E315" s="12">
        <v>41585</v>
      </c>
      <c r="F315" s="15">
        <f t="shared" si="168"/>
        <v>6.0374999999999998E-2</v>
      </c>
      <c r="H315" s="14">
        <v>311</v>
      </c>
      <c r="I315" s="12">
        <v>41950</v>
      </c>
      <c r="J315" s="15">
        <f t="shared" si="169"/>
        <v>5.6874999999999995E-2</v>
      </c>
      <c r="K315" s="4"/>
      <c r="L315" s="14">
        <v>311</v>
      </c>
      <c r="M315" s="12">
        <v>42315</v>
      </c>
      <c r="N315" s="15">
        <f t="shared" si="170"/>
        <v>4.8125000000000015E-2</v>
      </c>
      <c r="O315" s="31"/>
      <c r="P315" s="14">
        <v>311</v>
      </c>
      <c r="Q315" s="12">
        <v>41950</v>
      </c>
      <c r="R315" s="15">
        <f t="shared" si="171"/>
        <v>4.4625000000000012E-2</v>
      </c>
      <c r="S315" s="4"/>
      <c r="T315" s="14">
        <v>311</v>
      </c>
      <c r="U315" s="12">
        <v>42315</v>
      </c>
      <c r="V315" s="15">
        <f t="shared" si="172"/>
        <v>4.4625000000000012E-2</v>
      </c>
      <c r="AA315" s="14">
        <v>311</v>
      </c>
      <c r="AB315" s="12">
        <v>41219</v>
      </c>
      <c r="AC315" s="15">
        <f t="shared" si="173"/>
        <v>6.3874999999999987E-2</v>
      </c>
      <c r="AI315" s="60">
        <v>311</v>
      </c>
      <c r="AJ315" s="58">
        <v>41950</v>
      </c>
      <c r="AK315" s="61">
        <f t="shared" si="174"/>
        <v>4.6750000000000014E-2</v>
      </c>
      <c r="AL315" s="58">
        <v>42315</v>
      </c>
      <c r="AM315" s="61">
        <f t="shared" si="175"/>
        <v>4.6750000000000014E-2</v>
      </c>
      <c r="AO315" s="58">
        <v>41950</v>
      </c>
      <c r="AP315" s="61">
        <f t="shared" si="176"/>
        <v>5.408333333333333E-2</v>
      </c>
      <c r="AQ315" s="58">
        <v>42315</v>
      </c>
      <c r="AR315" s="61">
        <f t="shared" si="177"/>
        <v>4.3083333333333328E-2</v>
      </c>
    </row>
    <row r="316" spans="4:44">
      <c r="D316" s="14">
        <v>312</v>
      </c>
      <c r="E316" s="12">
        <v>41586</v>
      </c>
      <c r="F316" s="15">
        <f t="shared" si="168"/>
        <v>6.0374999999999998E-2</v>
      </c>
      <c r="H316" s="14">
        <v>312</v>
      </c>
      <c r="I316" s="12">
        <v>41951</v>
      </c>
      <c r="J316" s="15">
        <f t="shared" si="169"/>
        <v>5.6874999999999995E-2</v>
      </c>
      <c r="K316" s="4"/>
      <c r="L316" s="14">
        <v>312</v>
      </c>
      <c r="M316" s="12">
        <v>42316</v>
      </c>
      <c r="N316" s="15">
        <f t="shared" si="170"/>
        <v>4.8125000000000015E-2</v>
      </c>
      <c r="O316" s="31"/>
      <c r="P316" s="14">
        <v>312</v>
      </c>
      <c r="Q316" s="12">
        <v>41951</v>
      </c>
      <c r="R316" s="15">
        <f t="shared" si="171"/>
        <v>4.4625000000000012E-2</v>
      </c>
      <c r="S316" s="4"/>
      <c r="T316" s="14">
        <v>312</v>
      </c>
      <c r="U316" s="12">
        <v>42316</v>
      </c>
      <c r="V316" s="15">
        <f t="shared" si="172"/>
        <v>4.4625000000000012E-2</v>
      </c>
      <c r="AA316" s="14">
        <v>312</v>
      </c>
      <c r="AB316" s="12">
        <v>41220</v>
      </c>
      <c r="AC316" s="15">
        <f t="shared" si="173"/>
        <v>6.3874999999999987E-2</v>
      </c>
      <c r="AI316" s="60">
        <v>312</v>
      </c>
      <c r="AJ316" s="58">
        <v>41951</v>
      </c>
      <c r="AK316" s="61">
        <f t="shared" si="174"/>
        <v>4.6750000000000014E-2</v>
      </c>
      <c r="AL316" s="58">
        <v>42316</v>
      </c>
      <c r="AM316" s="61">
        <f t="shared" si="175"/>
        <v>4.6750000000000014E-2</v>
      </c>
      <c r="AO316" s="58">
        <v>41951</v>
      </c>
      <c r="AP316" s="61">
        <f t="shared" si="176"/>
        <v>5.408333333333333E-2</v>
      </c>
      <c r="AQ316" s="58">
        <v>42316</v>
      </c>
      <c r="AR316" s="61">
        <f t="shared" si="177"/>
        <v>4.3083333333333328E-2</v>
      </c>
    </row>
    <row r="317" spans="4:44">
      <c r="D317" s="14">
        <v>313</v>
      </c>
      <c r="E317" s="12">
        <v>41587</v>
      </c>
      <c r="F317" s="15">
        <f t="shared" si="168"/>
        <v>6.0374999999999998E-2</v>
      </c>
      <c r="H317" s="14">
        <v>313</v>
      </c>
      <c r="I317" s="12">
        <v>41952</v>
      </c>
      <c r="J317" s="15">
        <f t="shared" si="169"/>
        <v>5.6874999999999995E-2</v>
      </c>
      <c r="K317" s="4"/>
      <c r="L317" s="14">
        <v>313</v>
      </c>
      <c r="M317" s="12">
        <v>42317</v>
      </c>
      <c r="N317" s="15">
        <f t="shared" si="170"/>
        <v>4.8125000000000015E-2</v>
      </c>
      <c r="O317" s="31"/>
      <c r="P317" s="14">
        <v>313</v>
      </c>
      <c r="Q317" s="12">
        <v>41952</v>
      </c>
      <c r="R317" s="15">
        <f t="shared" si="171"/>
        <v>4.4625000000000012E-2</v>
      </c>
      <c r="S317" s="4"/>
      <c r="T317" s="14">
        <v>313</v>
      </c>
      <c r="U317" s="12">
        <v>42317</v>
      </c>
      <c r="V317" s="15">
        <f t="shared" si="172"/>
        <v>4.4625000000000012E-2</v>
      </c>
      <c r="AA317" s="14">
        <v>313</v>
      </c>
      <c r="AB317" s="12">
        <v>41221</v>
      </c>
      <c r="AC317" s="15">
        <f t="shared" si="173"/>
        <v>6.3874999999999987E-2</v>
      </c>
      <c r="AI317" s="60">
        <v>313</v>
      </c>
      <c r="AJ317" s="58">
        <v>41952</v>
      </c>
      <c r="AK317" s="61">
        <f t="shared" si="174"/>
        <v>4.6750000000000014E-2</v>
      </c>
      <c r="AL317" s="58">
        <v>42317</v>
      </c>
      <c r="AM317" s="61">
        <f t="shared" si="175"/>
        <v>4.6750000000000014E-2</v>
      </c>
      <c r="AO317" s="58">
        <v>41952</v>
      </c>
      <c r="AP317" s="61">
        <f t="shared" si="176"/>
        <v>5.408333333333333E-2</v>
      </c>
      <c r="AQ317" s="58">
        <v>42317</v>
      </c>
      <c r="AR317" s="61">
        <f t="shared" si="177"/>
        <v>4.3083333333333328E-2</v>
      </c>
    </row>
    <row r="318" spans="4:44">
      <c r="D318" s="14">
        <v>314</v>
      </c>
      <c r="E318" s="12">
        <v>41588</v>
      </c>
      <c r="F318" s="15">
        <f t="shared" si="168"/>
        <v>6.0374999999999998E-2</v>
      </c>
      <c r="H318" s="14">
        <v>314</v>
      </c>
      <c r="I318" s="12">
        <v>41953</v>
      </c>
      <c r="J318" s="15">
        <f t="shared" si="169"/>
        <v>5.6874999999999995E-2</v>
      </c>
      <c r="K318" s="4"/>
      <c r="L318" s="14">
        <v>314</v>
      </c>
      <c r="M318" s="12">
        <v>42318</v>
      </c>
      <c r="N318" s="15">
        <f t="shared" si="170"/>
        <v>4.8125000000000015E-2</v>
      </c>
      <c r="O318" s="31"/>
      <c r="P318" s="14">
        <v>314</v>
      </c>
      <c r="Q318" s="12">
        <v>41953</v>
      </c>
      <c r="R318" s="15">
        <f t="shared" si="171"/>
        <v>4.4625000000000012E-2</v>
      </c>
      <c r="S318" s="4"/>
      <c r="T318" s="14">
        <v>314</v>
      </c>
      <c r="U318" s="12">
        <v>42318</v>
      </c>
      <c r="V318" s="15">
        <f t="shared" si="172"/>
        <v>4.4625000000000012E-2</v>
      </c>
      <c r="AA318" s="14">
        <v>314</v>
      </c>
      <c r="AB318" s="12">
        <v>41222</v>
      </c>
      <c r="AC318" s="15">
        <f t="shared" si="173"/>
        <v>6.3874999999999987E-2</v>
      </c>
      <c r="AI318" s="60">
        <v>314</v>
      </c>
      <c r="AJ318" s="58">
        <v>41953</v>
      </c>
      <c r="AK318" s="61">
        <f t="shared" si="174"/>
        <v>4.6750000000000014E-2</v>
      </c>
      <c r="AL318" s="58">
        <v>42318</v>
      </c>
      <c r="AM318" s="61">
        <f t="shared" si="175"/>
        <v>4.6750000000000014E-2</v>
      </c>
      <c r="AO318" s="58">
        <v>41953</v>
      </c>
      <c r="AP318" s="61">
        <f t="shared" si="176"/>
        <v>5.408333333333333E-2</v>
      </c>
      <c r="AQ318" s="58">
        <v>42318</v>
      </c>
      <c r="AR318" s="61">
        <f t="shared" si="177"/>
        <v>4.3083333333333328E-2</v>
      </c>
    </row>
    <row r="319" spans="4:44">
      <c r="D319" s="14">
        <v>315</v>
      </c>
      <c r="E319" s="12">
        <v>41589</v>
      </c>
      <c r="F319" s="15">
        <f t="shared" si="168"/>
        <v>6.0374999999999998E-2</v>
      </c>
      <c r="H319" s="14">
        <v>315</v>
      </c>
      <c r="I319" s="12">
        <v>41954</v>
      </c>
      <c r="J319" s="15">
        <f t="shared" si="169"/>
        <v>5.6874999999999995E-2</v>
      </c>
      <c r="K319" s="4"/>
      <c r="L319" s="14">
        <v>315</v>
      </c>
      <c r="M319" s="12">
        <v>42319</v>
      </c>
      <c r="N319" s="15">
        <f t="shared" si="170"/>
        <v>4.8125000000000015E-2</v>
      </c>
      <c r="O319" s="31"/>
      <c r="P319" s="14">
        <v>315</v>
      </c>
      <c r="Q319" s="12">
        <v>41954</v>
      </c>
      <c r="R319" s="15">
        <f t="shared" si="171"/>
        <v>4.4625000000000012E-2</v>
      </c>
      <c r="S319" s="4"/>
      <c r="T319" s="14">
        <v>315</v>
      </c>
      <c r="U319" s="12">
        <v>42319</v>
      </c>
      <c r="V319" s="15">
        <f t="shared" si="172"/>
        <v>4.4625000000000012E-2</v>
      </c>
      <c r="AA319" s="14">
        <v>315</v>
      </c>
      <c r="AB319" s="12">
        <v>41223</v>
      </c>
      <c r="AC319" s="15">
        <f t="shared" si="173"/>
        <v>6.3874999999999987E-2</v>
      </c>
      <c r="AI319" s="60">
        <v>315</v>
      </c>
      <c r="AJ319" s="58">
        <v>41954</v>
      </c>
      <c r="AK319" s="61">
        <f t="shared" si="174"/>
        <v>4.6750000000000014E-2</v>
      </c>
      <c r="AL319" s="58">
        <v>42319</v>
      </c>
      <c r="AM319" s="61">
        <f t="shared" si="175"/>
        <v>4.6750000000000014E-2</v>
      </c>
      <c r="AO319" s="58">
        <v>41954</v>
      </c>
      <c r="AP319" s="61">
        <f t="shared" si="176"/>
        <v>5.408333333333333E-2</v>
      </c>
      <c r="AQ319" s="58">
        <v>42319</v>
      </c>
      <c r="AR319" s="61">
        <f t="shared" si="177"/>
        <v>4.3083333333333328E-2</v>
      </c>
    </row>
    <row r="320" spans="4:44">
      <c r="D320" s="14">
        <v>316</v>
      </c>
      <c r="E320" s="12">
        <v>41590</v>
      </c>
      <c r="F320" s="15">
        <f t="shared" si="168"/>
        <v>6.0374999999999998E-2</v>
      </c>
      <c r="H320" s="14">
        <v>316</v>
      </c>
      <c r="I320" s="12">
        <v>41955</v>
      </c>
      <c r="J320" s="15">
        <f t="shared" si="169"/>
        <v>5.6874999999999995E-2</v>
      </c>
      <c r="K320" s="4"/>
      <c r="L320" s="14">
        <v>316</v>
      </c>
      <c r="M320" s="12">
        <v>42320</v>
      </c>
      <c r="N320" s="15">
        <f t="shared" si="170"/>
        <v>4.8125000000000015E-2</v>
      </c>
      <c r="O320" s="31"/>
      <c r="P320" s="14">
        <v>316</v>
      </c>
      <c r="Q320" s="12">
        <v>41955</v>
      </c>
      <c r="R320" s="15">
        <f t="shared" si="171"/>
        <v>4.4625000000000012E-2</v>
      </c>
      <c r="S320" s="4"/>
      <c r="T320" s="14">
        <v>316</v>
      </c>
      <c r="U320" s="12">
        <v>42320</v>
      </c>
      <c r="V320" s="15">
        <f t="shared" si="172"/>
        <v>4.4625000000000012E-2</v>
      </c>
      <c r="AA320" s="14">
        <v>316</v>
      </c>
      <c r="AB320" s="12">
        <v>41224</v>
      </c>
      <c r="AC320" s="15">
        <f t="shared" si="173"/>
        <v>6.3874999999999987E-2</v>
      </c>
      <c r="AI320" s="60">
        <v>316</v>
      </c>
      <c r="AJ320" s="58">
        <v>41955</v>
      </c>
      <c r="AK320" s="61">
        <f t="shared" si="174"/>
        <v>4.6750000000000014E-2</v>
      </c>
      <c r="AL320" s="58">
        <v>42320</v>
      </c>
      <c r="AM320" s="61">
        <f t="shared" si="175"/>
        <v>4.6750000000000014E-2</v>
      </c>
      <c r="AO320" s="58">
        <v>41955</v>
      </c>
      <c r="AP320" s="61">
        <f t="shared" si="176"/>
        <v>5.408333333333333E-2</v>
      </c>
      <c r="AQ320" s="58">
        <v>42320</v>
      </c>
      <c r="AR320" s="61">
        <f t="shared" si="177"/>
        <v>4.3083333333333328E-2</v>
      </c>
    </row>
    <row r="321" spans="4:44">
      <c r="D321" s="14">
        <v>317</v>
      </c>
      <c r="E321" s="12">
        <v>41591</v>
      </c>
      <c r="F321" s="15">
        <f t="shared" si="168"/>
        <v>6.0374999999999998E-2</v>
      </c>
      <c r="H321" s="14">
        <v>317</v>
      </c>
      <c r="I321" s="12">
        <v>41956</v>
      </c>
      <c r="J321" s="15">
        <f t="shared" si="169"/>
        <v>5.6874999999999995E-2</v>
      </c>
      <c r="K321" s="4"/>
      <c r="L321" s="14">
        <v>317</v>
      </c>
      <c r="M321" s="12">
        <v>42321</v>
      </c>
      <c r="N321" s="15">
        <f t="shared" si="170"/>
        <v>4.8125000000000015E-2</v>
      </c>
      <c r="O321" s="31"/>
      <c r="P321" s="14">
        <v>317</v>
      </c>
      <c r="Q321" s="12">
        <v>41956</v>
      </c>
      <c r="R321" s="15">
        <f t="shared" si="171"/>
        <v>4.4625000000000012E-2</v>
      </c>
      <c r="S321" s="4"/>
      <c r="T321" s="14">
        <v>317</v>
      </c>
      <c r="U321" s="12">
        <v>42321</v>
      </c>
      <c r="V321" s="15">
        <f t="shared" si="172"/>
        <v>4.4625000000000012E-2</v>
      </c>
      <c r="AA321" s="14">
        <v>317</v>
      </c>
      <c r="AB321" s="12">
        <v>41225</v>
      </c>
      <c r="AC321" s="15">
        <f t="shared" si="173"/>
        <v>6.3874999999999987E-2</v>
      </c>
      <c r="AI321" s="60">
        <v>317</v>
      </c>
      <c r="AJ321" s="58">
        <v>41956</v>
      </c>
      <c r="AK321" s="61">
        <f t="shared" si="174"/>
        <v>4.6750000000000014E-2</v>
      </c>
      <c r="AL321" s="58">
        <v>42321</v>
      </c>
      <c r="AM321" s="61">
        <f t="shared" si="175"/>
        <v>4.6750000000000014E-2</v>
      </c>
      <c r="AO321" s="58">
        <v>41956</v>
      </c>
      <c r="AP321" s="61">
        <f t="shared" si="176"/>
        <v>5.408333333333333E-2</v>
      </c>
      <c r="AQ321" s="58">
        <v>42321</v>
      </c>
      <c r="AR321" s="61">
        <f t="shared" si="177"/>
        <v>4.3083333333333328E-2</v>
      </c>
    </row>
    <row r="322" spans="4:44">
      <c r="D322" s="14">
        <v>318</v>
      </c>
      <c r="E322" s="12">
        <v>41592</v>
      </c>
      <c r="F322" s="15">
        <f t="shared" si="168"/>
        <v>6.0374999999999998E-2</v>
      </c>
      <c r="H322" s="14">
        <v>318</v>
      </c>
      <c r="I322" s="12">
        <v>41957</v>
      </c>
      <c r="J322" s="15">
        <f t="shared" si="169"/>
        <v>5.6874999999999995E-2</v>
      </c>
      <c r="K322" s="4"/>
      <c r="L322" s="14">
        <v>318</v>
      </c>
      <c r="M322" s="12">
        <v>42322</v>
      </c>
      <c r="N322" s="15">
        <f t="shared" si="170"/>
        <v>4.8125000000000015E-2</v>
      </c>
      <c r="O322" s="31"/>
      <c r="P322" s="14">
        <v>318</v>
      </c>
      <c r="Q322" s="12">
        <v>41957</v>
      </c>
      <c r="R322" s="15">
        <f t="shared" si="171"/>
        <v>4.4625000000000012E-2</v>
      </c>
      <c r="S322" s="4"/>
      <c r="T322" s="14">
        <v>318</v>
      </c>
      <c r="U322" s="12">
        <v>42322</v>
      </c>
      <c r="V322" s="15">
        <f t="shared" si="172"/>
        <v>4.4625000000000012E-2</v>
      </c>
      <c r="AA322" s="14">
        <v>318</v>
      </c>
      <c r="AB322" s="12">
        <v>41226</v>
      </c>
      <c r="AC322" s="15">
        <f t="shared" si="173"/>
        <v>6.3874999999999987E-2</v>
      </c>
      <c r="AI322" s="60">
        <v>318</v>
      </c>
      <c r="AJ322" s="58">
        <v>41957</v>
      </c>
      <c r="AK322" s="61">
        <f t="shared" si="174"/>
        <v>4.6750000000000014E-2</v>
      </c>
      <c r="AL322" s="58">
        <v>42322</v>
      </c>
      <c r="AM322" s="61">
        <f t="shared" si="175"/>
        <v>4.6750000000000014E-2</v>
      </c>
      <c r="AO322" s="58">
        <v>41957</v>
      </c>
      <c r="AP322" s="61">
        <f t="shared" si="176"/>
        <v>5.408333333333333E-2</v>
      </c>
      <c r="AQ322" s="58">
        <v>42322</v>
      </c>
      <c r="AR322" s="61">
        <f t="shared" si="177"/>
        <v>4.3083333333333328E-2</v>
      </c>
    </row>
    <row r="323" spans="4:44">
      <c r="D323" s="14">
        <v>319</v>
      </c>
      <c r="E323" s="12">
        <v>41593</v>
      </c>
      <c r="F323" s="15">
        <f t="shared" si="168"/>
        <v>6.0374999999999998E-2</v>
      </c>
      <c r="H323" s="14">
        <v>319</v>
      </c>
      <c r="I323" s="12">
        <v>41958</v>
      </c>
      <c r="J323" s="15">
        <f t="shared" si="169"/>
        <v>5.6874999999999995E-2</v>
      </c>
      <c r="K323" s="4"/>
      <c r="L323" s="14">
        <v>319</v>
      </c>
      <c r="M323" s="12">
        <v>42323</v>
      </c>
      <c r="N323" s="15">
        <f t="shared" si="170"/>
        <v>4.8125000000000015E-2</v>
      </c>
      <c r="O323" s="31"/>
      <c r="P323" s="14">
        <v>319</v>
      </c>
      <c r="Q323" s="12">
        <v>41958</v>
      </c>
      <c r="R323" s="15">
        <f t="shared" si="171"/>
        <v>4.4625000000000012E-2</v>
      </c>
      <c r="S323" s="4"/>
      <c r="T323" s="14">
        <v>319</v>
      </c>
      <c r="U323" s="12">
        <v>42323</v>
      </c>
      <c r="V323" s="15">
        <f t="shared" si="172"/>
        <v>4.4625000000000012E-2</v>
      </c>
      <c r="AA323" s="14">
        <v>319</v>
      </c>
      <c r="AB323" s="12">
        <v>41227</v>
      </c>
      <c r="AC323" s="15">
        <f t="shared" si="173"/>
        <v>6.3874999999999987E-2</v>
      </c>
      <c r="AI323" s="60">
        <v>319</v>
      </c>
      <c r="AJ323" s="58">
        <v>41958</v>
      </c>
      <c r="AK323" s="61">
        <f t="shared" si="174"/>
        <v>4.6750000000000014E-2</v>
      </c>
      <c r="AL323" s="58">
        <v>42323</v>
      </c>
      <c r="AM323" s="61">
        <f t="shared" si="175"/>
        <v>4.6750000000000014E-2</v>
      </c>
      <c r="AO323" s="58">
        <v>41958</v>
      </c>
      <c r="AP323" s="61">
        <f t="shared" si="176"/>
        <v>5.408333333333333E-2</v>
      </c>
      <c r="AQ323" s="58">
        <v>42323</v>
      </c>
      <c r="AR323" s="61">
        <f t="shared" si="177"/>
        <v>4.3083333333333328E-2</v>
      </c>
    </row>
    <row r="324" spans="4:44">
      <c r="D324" s="14">
        <v>320</v>
      </c>
      <c r="E324" s="12">
        <v>41594</v>
      </c>
      <c r="F324" s="15">
        <f t="shared" si="168"/>
        <v>6.0374999999999998E-2</v>
      </c>
      <c r="H324" s="14">
        <v>320</v>
      </c>
      <c r="I324" s="12">
        <v>41959</v>
      </c>
      <c r="J324" s="15">
        <f t="shared" si="169"/>
        <v>5.6874999999999995E-2</v>
      </c>
      <c r="K324" s="4"/>
      <c r="L324" s="14">
        <v>320</v>
      </c>
      <c r="M324" s="12">
        <v>42324</v>
      </c>
      <c r="N324" s="15">
        <f t="shared" si="170"/>
        <v>4.8125000000000015E-2</v>
      </c>
      <c r="O324" s="31"/>
      <c r="P324" s="14">
        <v>320</v>
      </c>
      <c r="Q324" s="12">
        <v>41959</v>
      </c>
      <c r="R324" s="15">
        <f t="shared" si="171"/>
        <v>4.4625000000000012E-2</v>
      </c>
      <c r="S324" s="4"/>
      <c r="T324" s="14">
        <v>320</v>
      </c>
      <c r="U324" s="12">
        <v>42324</v>
      </c>
      <c r="V324" s="15">
        <f t="shared" si="172"/>
        <v>4.4625000000000012E-2</v>
      </c>
      <c r="AA324" s="14">
        <v>320</v>
      </c>
      <c r="AB324" s="12">
        <v>41228</v>
      </c>
      <c r="AC324" s="15">
        <f t="shared" si="173"/>
        <v>6.3874999999999987E-2</v>
      </c>
      <c r="AI324" s="60">
        <v>320</v>
      </c>
      <c r="AJ324" s="58">
        <v>41959</v>
      </c>
      <c r="AK324" s="61">
        <f t="shared" si="174"/>
        <v>4.6750000000000014E-2</v>
      </c>
      <c r="AL324" s="58">
        <v>42324</v>
      </c>
      <c r="AM324" s="61">
        <f t="shared" si="175"/>
        <v>4.6750000000000014E-2</v>
      </c>
      <c r="AO324" s="58">
        <v>41959</v>
      </c>
      <c r="AP324" s="61">
        <f t="shared" si="176"/>
        <v>5.408333333333333E-2</v>
      </c>
      <c r="AQ324" s="58">
        <v>42324</v>
      </c>
      <c r="AR324" s="61">
        <f t="shared" si="177"/>
        <v>4.3083333333333328E-2</v>
      </c>
    </row>
    <row r="325" spans="4:44">
      <c r="D325" s="14">
        <v>321</v>
      </c>
      <c r="E325" s="12">
        <v>41595</v>
      </c>
      <c r="F325" s="15">
        <f t="shared" si="168"/>
        <v>6.0374999999999998E-2</v>
      </c>
      <c r="H325" s="14">
        <v>321</v>
      </c>
      <c r="I325" s="12">
        <v>41960</v>
      </c>
      <c r="J325" s="15">
        <f t="shared" si="169"/>
        <v>5.6874999999999995E-2</v>
      </c>
      <c r="K325" s="4"/>
      <c r="L325" s="14">
        <v>321</v>
      </c>
      <c r="M325" s="12">
        <v>42325</v>
      </c>
      <c r="N325" s="15">
        <f t="shared" si="170"/>
        <v>4.8125000000000015E-2</v>
      </c>
      <c r="O325" s="31"/>
      <c r="P325" s="14">
        <v>321</v>
      </c>
      <c r="Q325" s="12">
        <v>41960</v>
      </c>
      <c r="R325" s="15">
        <f t="shared" si="171"/>
        <v>4.4625000000000012E-2</v>
      </c>
      <c r="S325" s="4"/>
      <c r="T325" s="14">
        <v>321</v>
      </c>
      <c r="U325" s="12">
        <v>42325</v>
      </c>
      <c r="V325" s="15">
        <f t="shared" si="172"/>
        <v>4.4625000000000012E-2</v>
      </c>
      <c r="AA325" s="14">
        <v>321</v>
      </c>
      <c r="AB325" s="12">
        <v>41229</v>
      </c>
      <c r="AC325" s="15">
        <f t="shared" si="173"/>
        <v>6.3874999999999987E-2</v>
      </c>
      <c r="AI325" s="60">
        <v>321</v>
      </c>
      <c r="AJ325" s="58">
        <v>41960</v>
      </c>
      <c r="AK325" s="61">
        <f t="shared" si="174"/>
        <v>4.6750000000000014E-2</v>
      </c>
      <c r="AL325" s="58">
        <v>42325</v>
      </c>
      <c r="AM325" s="61">
        <f t="shared" si="175"/>
        <v>4.6750000000000014E-2</v>
      </c>
      <c r="AO325" s="58">
        <v>41960</v>
      </c>
      <c r="AP325" s="61">
        <f t="shared" si="176"/>
        <v>5.408333333333333E-2</v>
      </c>
      <c r="AQ325" s="58">
        <v>42325</v>
      </c>
      <c r="AR325" s="61">
        <f t="shared" si="177"/>
        <v>4.3083333333333328E-2</v>
      </c>
    </row>
    <row r="326" spans="4:44">
      <c r="D326" s="14">
        <v>322</v>
      </c>
      <c r="E326" s="12">
        <v>41596</v>
      </c>
      <c r="F326" s="15">
        <f t="shared" si="168"/>
        <v>6.0374999999999998E-2</v>
      </c>
      <c r="H326" s="14">
        <v>322</v>
      </c>
      <c r="I326" s="12">
        <v>41961</v>
      </c>
      <c r="J326" s="15">
        <f t="shared" si="169"/>
        <v>5.6874999999999995E-2</v>
      </c>
      <c r="K326" s="4"/>
      <c r="L326" s="14">
        <v>322</v>
      </c>
      <c r="M326" s="12">
        <v>42326</v>
      </c>
      <c r="N326" s="15">
        <f t="shared" si="170"/>
        <v>4.8125000000000015E-2</v>
      </c>
      <c r="O326" s="31"/>
      <c r="P326" s="14">
        <v>322</v>
      </c>
      <c r="Q326" s="12">
        <v>41961</v>
      </c>
      <c r="R326" s="15">
        <f t="shared" si="171"/>
        <v>4.4625000000000012E-2</v>
      </c>
      <c r="S326" s="4"/>
      <c r="T326" s="14">
        <v>322</v>
      </c>
      <c r="U326" s="12">
        <v>42326</v>
      </c>
      <c r="V326" s="15">
        <f t="shared" si="172"/>
        <v>4.4625000000000012E-2</v>
      </c>
      <c r="AA326" s="14">
        <v>322</v>
      </c>
      <c r="AB326" s="12">
        <v>41230</v>
      </c>
      <c r="AC326" s="15">
        <f t="shared" si="173"/>
        <v>6.3874999999999987E-2</v>
      </c>
      <c r="AI326" s="60">
        <v>322</v>
      </c>
      <c r="AJ326" s="58">
        <v>41961</v>
      </c>
      <c r="AK326" s="61">
        <f t="shared" si="174"/>
        <v>4.6750000000000014E-2</v>
      </c>
      <c r="AL326" s="58">
        <v>42326</v>
      </c>
      <c r="AM326" s="61">
        <f t="shared" si="175"/>
        <v>4.6750000000000014E-2</v>
      </c>
      <c r="AO326" s="58">
        <v>41961</v>
      </c>
      <c r="AP326" s="61">
        <f t="shared" si="176"/>
        <v>5.408333333333333E-2</v>
      </c>
      <c r="AQ326" s="58">
        <v>42326</v>
      </c>
      <c r="AR326" s="61">
        <f t="shared" si="177"/>
        <v>4.3083333333333328E-2</v>
      </c>
    </row>
    <row r="327" spans="4:44">
      <c r="D327" s="14">
        <v>323</v>
      </c>
      <c r="E327" s="12">
        <v>41597</v>
      </c>
      <c r="F327" s="15">
        <f t="shared" si="168"/>
        <v>6.0374999999999998E-2</v>
      </c>
      <c r="H327" s="14">
        <v>323</v>
      </c>
      <c r="I327" s="12">
        <v>41962</v>
      </c>
      <c r="J327" s="15">
        <f t="shared" si="169"/>
        <v>5.6874999999999995E-2</v>
      </c>
      <c r="K327" s="4"/>
      <c r="L327" s="14">
        <v>323</v>
      </c>
      <c r="M327" s="12">
        <v>42327</v>
      </c>
      <c r="N327" s="15">
        <f t="shared" si="170"/>
        <v>4.8125000000000015E-2</v>
      </c>
      <c r="O327" s="31"/>
      <c r="P327" s="14">
        <v>323</v>
      </c>
      <c r="Q327" s="12">
        <v>41962</v>
      </c>
      <c r="R327" s="15">
        <f t="shared" si="171"/>
        <v>4.4625000000000012E-2</v>
      </c>
      <c r="S327" s="4"/>
      <c r="T327" s="14">
        <v>323</v>
      </c>
      <c r="U327" s="12">
        <v>42327</v>
      </c>
      <c r="V327" s="15">
        <f t="shared" si="172"/>
        <v>4.4625000000000012E-2</v>
      </c>
      <c r="AA327" s="14">
        <v>323</v>
      </c>
      <c r="AB327" s="12">
        <v>41231</v>
      </c>
      <c r="AC327" s="15">
        <f t="shared" si="173"/>
        <v>6.3874999999999987E-2</v>
      </c>
      <c r="AI327" s="60">
        <v>323</v>
      </c>
      <c r="AJ327" s="58">
        <v>41962</v>
      </c>
      <c r="AK327" s="61">
        <f t="shared" si="174"/>
        <v>4.6750000000000014E-2</v>
      </c>
      <c r="AL327" s="58">
        <v>42327</v>
      </c>
      <c r="AM327" s="61">
        <f t="shared" si="175"/>
        <v>4.6750000000000014E-2</v>
      </c>
      <c r="AO327" s="58">
        <v>41962</v>
      </c>
      <c r="AP327" s="61">
        <f t="shared" si="176"/>
        <v>5.408333333333333E-2</v>
      </c>
      <c r="AQ327" s="58">
        <v>42327</v>
      </c>
      <c r="AR327" s="61">
        <f t="shared" si="177"/>
        <v>4.3083333333333328E-2</v>
      </c>
    </row>
    <row r="328" spans="4:44">
      <c r="D328" s="14">
        <v>324</v>
      </c>
      <c r="E328" s="12">
        <v>41598</v>
      </c>
      <c r="F328" s="15">
        <f t="shared" si="168"/>
        <v>6.0374999999999998E-2</v>
      </c>
      <c r="H328" s="14">
        <v>324</v>
      </c>
      <c r="I328" s="12">
        <v>41963</v>
      </c>
      <c r="J328" s="15">
        <f t="shared" si="169"/>
        <v>5.6874999999999995E-2</v>
      </c>
      <c r="K328" s="4"/>
      <c r="L328" s="14">
        <v>324</v>
      </c>
      <c r="M328" s="12">
        <v>42328</v>
      </c>
      <c r="N328" s="15">
        <f t="shared" si="170"/>
        <v>4.8125000000000015E-2</v>
      </c>
      <c r="O328" s="31"/>
      <c r="P328" s="14">
        <v>324</v>
      </c>
      <c r="Q328" s="12">
        <v>41963</v>
      </c>
      <c r="R328" s="15">
        <f t="shared" si="171"/>
        <v>4.4625000000000012E-2</v>
      </c>
      <c r="S328" s="4"/>
      <c r="T328" s="14">
        <v>324</v>
      </c>
      <c r="U328" s="12">
        <v>42328</v>
      </c>
      <c r="V328" s="15">
        <f t="shared" si="172"/>
        <v>4.4625000000000012E-2</v>
      </c>
      <c r="AA328" s="14">
        <v>324</v>
      </c>
      <c r="AB328" s="12">
        <v>41232</v>
      </c>
      <c r="AC328" s="15">
        <f t="shared" si="173"/>
        <v>6.3874999999999987E-2</v>
      </c>
      <c r="AI328" s="60">
        <v>324</v>
      </c>
      <c r="AJ328" s="58">
        <v>41963</v>
      </c>
      <c r="AK328" s="61">
        <f t="shared" si="174"/>
        <v>4.6750000000000014E-2</v>
      </c>
      <c r="AL328" s="58">
        <v>42328</v>
      </c>
      <c r="AM328" s="61">
        <f t="shared" si="175"/>
        <v>4.6750000000000014E-2</v>
      </c>
      <c r="AO328" s="58">
        <v>41963</v>
      </c>
      <c r="AP328" s="61">
        <f t="shared" si="176"/>
        <v>5.408333333333333E-2</v>
      </c>
      <c r="AQ328" s="58">
        <v>42328</v>
      </c>
      <c r="AR328" s="61">
        <f t="shared" si="177"/>
        <v>4.3083333333333328E-2</v>
      </c>
    </row>
    <row r="329" spans="4:44">
      <c r="D329" s="14">
        <v>325</v>
      </c>
      <c r="E329" s="12">
        <v>41599</v>
      </c>
      <c r="F329" s="29">
        <f t="shared" ref="F329:F338" si="178">F$298+F$4/D$4/100</f>
        <v>6.3250000000000001E-2</v>
      </c>
      <c r="H329" s="14">
        <v>325</v>
      </c>
      <c r="I329" s="12">
        <v>41964</v>
      </c>
      <c r="J329" s="29">
        <f t="shared" ref="J329:J338" si="179">J$298+J$4/H$4/100</f>
        <v>5.9583333333333328E-2</v>
      </c>
      <c r="K329" s="4"/>
      <c r="L329" s="14">
        <v>325</v>
      </c>
      <c r="M329" s="12">
        <v>42329</v>
      </c>
      <c r="N329" s="29">
        <f t="shared" ref="N329:N338" si="180">N$298+N$4/L$4/100</f>
        <v>5.0416666666666679E-2</v>
      </c>
      <c r="O329" s="31"/>
      <c r="P329" s="14">
        <v>325</v>
      </c>
      <c r="Q329" s="12">
        <v>41964</v>
      </c>
      <c r="R329" s="29">
        <f t="shared" ref="R329:R338" si="181">R$298+R$4/P$4/100</f>
        <v>4.6750000000000014E-2</v>
      </c>
      <c r="S329" s="4"/>
      <c r="T329" s="14">
        <v>325</v>
      </c>
      <c r="U329" s="12">
        <v>42329</v>
      </c>
      <c r="V329" s="29">
        <f t="shared" ref="V329:V338" si="182">V$298+V$4/T$4/100</f>
        <v>4.6750000000000014E-2</v>
      </c>
      <c r="AA329" s="30">
        <v>325</v>
      </c>
      <c r="AB329" s="12">
        <v>41233</v>
      </c>
      <c r="AC329" s="15">
        <f t="shared" si="173"/>
        <v>6.3874999999999987E-2</v>
      </c>
      <c r="AI329" s="60">
        <v>325</v>
      </c>
      <c r="AJ329" s="58">
        <v>41964</v>
      </c>
      <c r="AK329" s="61">
        <f t="shared" si="174"/>
        <v>4.6750000000000014E-2</v>
      </c>
      <c r="AL329" s="58">
        <v>42329</v>
      </c>
      <c r="AM329" s="61">
        <f t="shared" si="175"/>
        <v>4.6750000000000014E-2</v>
      </c>
      <c r="AO329" s="58">
        <v>41964</v>
      </c>
      <c r="AP329" s="61">
        <f t="shared" si="176"/>
        <v>5.408333333333333E-2</v>
      </c>
      <c r="AQ329" s="58">
        <v>42329</v>
      </c>
      <c r="AR329" s="61">
        <f t="shared" si="177"/>
        <v>4.3083333333333328E-2</v>
      </c>
    </row>
    <row r="330" spans="4:44">
      <c r="D330" s="14">
        <v>326</v>
      </c>
      <c r="E330" s="12">
        <v>41600</v>
      </c>
      <c r="F330" s="15">
        <f t="shared" si="178"/>
        <v>6.3250000000000001E-2</v>
      </c>
      <c r="H330" s="14">
        <v>326</v>
      </c>
      <c r="I330" s="12">
        <v>41965</v>
      </c>
      <c r="J330" s="15">
        <f t="shared" si="179"/>
        <v>5.9583333333333328E-2</v>
      </c>
      <c r="K330" s="4"/>
      <c r="L330" s="14">
        <v>326</v>
      </c>
      <c r="M330" s="12">
        <v>42330</v>
      </c>
      <c r="N330" s="15">
        <f t="shared" si="180"/>
        <v>5.0416666666666679E-2</v>
      </c>
      <c r="O330" s="31"/>
      <c r="P330" s="14">
        <v>326</v>
      </c>
      <c r="Q330" s="12">
        <v>41965</v>
      </c>
      <c r="R330" s="15">
        <f t="shared" si="181"/>
        <v>4.6750000000000014E-2</v>
      </c>
      <c r="S330" s="4"/>
      <c r="T330" s="14">
        <v>326</v>
      </c>
      <c r="U330" s="12">
        <v>42330</v>
      </c>
      <c r="V330" s="15">
        <f t="shared" si="182"/>
        <v>4.6750000000000014E-2</v>
      </c>
      <c r="AA330" s="30">
        <v>326</v>
      </c>
      <c r="AB330" s="28">
        <v>41234</v>
      </c>
      <c r="AC330" s="29">
        <f t="shared" ref="AC330:AC339" si="183">AC$299+AC$4/AA$4/100</f>
        <v>6.6916666666666652E-2</v>
      </c>
      <c r="AI330" s="60">
        <v>326</v>
      </c>
      <c r="AJ330" s="58">
        <v>41965</v>
      </c>
      <c r="AK330" s="61">
        <f t="shared" si="174"/>
        <v>4.6750000000000014E-2</v>
      </c>
      <c r="AL330" s="58">
        <v>42330</v>
      </c>
      <c r="AM330" s="61">
        <f t="shared" si="175"/>
        <v>4.6750000000000014E-2</v>
      </c>
      <c r="AO330" s="58">
        <v>41965</v>
      </c>
      <c r="AP330" s="61">
        <f t="shared" si="176"/>
        <v>5.408333333333333E-2</v>
      </c>
      <c r="AQ330" s="58">
        <v>42330</v>
      </c>
      <c r="AR330" s="61">
        <f t="shared" si="177"/>
        <v>4.3083333333333328E-2</v>
      </c>
    </row>
    <row r="331" spans="4:44">
      <c r="D331" s="14">
        <v>327</v>
      </c>
      <c r="E331" s="12">
        <v>41601</v>
      </c>
      <c r="F331" s="15">
        <f t="shared" si="178"/>
        <v>6.3250000000000001E-2</v>
      </c>
      <c r="H331" s="14">
        <v>327</v>
      </c>
      <c r="I331" s="12">
        <v>41966</v>
      </c>
      <c r="J331" s="15">
        <f t="shared" si="179"/>
        <v>5.9583333333333328E-2</v>
      </c>
      <c r="K331" s="4"/>
      <c r="L331" s="14">
        <v>327</v>
      </c>
      <c r="M331" s="12">
        <v>42331</v>
      </c>
      <c r="N331" s="15">
        <f t="shared" si="180"/>
        <v>5.0416666666666679E-2</v>
      </c>
      <c r="O331" s="31"/>
      <c r="P331" s="14">
        <v>327</v>
      </c>
      <c r="Q331" s="12">
        <v>41966</v>
      </c>
      <c r="R331" s="15">
        <f t="shared" si="181"/>
        <v>4.6750000000000014E-2</v>
      </c>
      <c r="S331" s="4"/>
      <c r="T331" s="14">
        <v>327</v>
      </c>
      <c r="U331" s="12">
        <v>42331</v>
      </c>
      <c r="V331" s="15">
        <f t="shared" si="182"/>
        <v>4.6750000000000014E-2</v>
      </c>
      <c r="AA331" s="14">
        <v>327</v>
      </c>
      <c r="AB331" s="12">
        <v>41235</v>
      </c>
      <c r="AC331" s="15">
        <f t="shared" si="183"/>
        <v>6.6916666666666652E-2</v>
      </c>
      <c r="AI331" s="60">
        <v>327</v>
      </c>
      <c r="AJ331" s="58">
        <v>41966</v>
      </c>
      <c r="AK331" s="61">
        <f t="shared" si="174"/>
        <v>4.6750000000000014E-2</v>
      </c>
      <c r="AL331" s="58">
        <v>42331</v>
      </c>
      <c r="AM331" s="61">
        <f t="shared" si="175"/>
        <v>4.6750000000000014E-2</v>
      </c>
      <c r="AO331" s="58">
        <v>41966</v>
      </c>
      <c r="AP331" s="61">
        <f t="shared" si="176"/>
        <v>5.408333333333333E-2</v>
      </c>
      <c r="AQ331" s="58">
        <v>42331</v>
      </c>
      <c r="AR331" s="61">
        <f t="shared" si="177"/>
        <v>4.3083333333333328E-2</v>
      </c>
    </row>
    <row r="332" spans="4:44">
      <c r="D332" s="14">
        <v>328</v>
      </c>
      <c r="E332" s="12">
        <v>41602</v>
      </c>
      <c r="F332" s="15">
        <f t="shared" si="178"/>
        <v>6.3250000000000001E-2</v>
      </c>
      <c r="H332" s="14">
        <v>328</v>
      </c>
      <c r="I332" s="12">
        <v>41967</v>
      </c>
      <c r="J332" s="15">
        <f t="shared" si="179"/>
        <v>5.9583333333333328E-2</v>
      </c>
      <c r="K332" s="4"/>
      <c r="L332" s="14">
        <v>328</v>
      </c>
      <c r="M332" s="12">
        <v>42332</v>
      </c>
      <c r="N332" s="15">
        <f t="shared" si="180"/>
        <v>5.0416666666666679E-2</v>
      </c>
      <c r="O332" s="31"/>
      <c r="P332" s="14">
        <v>328</v>
      </c>
      <c r="Q332" s="12">
        <v>41967</v>
      </c>
      <c r="R332" s="15">
        <f t="shared" si="181"/>
        <v>4.6750000000000014E-2</v>
      </c>
      <c r="S332" s="4"/>
      <c r="T332" s="14">
        <v>328</v>
      </c>
      <c r="U332" s="12">
        <v>42332</v>
      </c>
      <c r="V332" s="15">
        <f t="shared" si="182"/>
        <v>4.6750000000000014E-2</v>
      </c>
      <c r="AA332" s="14">
        <v>328</v>
      </c>
      <c r="AB332" s="12">
        <v>41236</v>
      </c>
      <c r="AC332" s="15">
        <f t="shared" si="183"/>
        <v>6.6916666666666652E-2</v>
      </c>
      <c r="AI332" s="60">
        <v>328</v>
      </c>
      <c r="AJ332" s="58">
        <v>41967</v>
      </c>
      <c r="AK332" s="61">
        <f t="shared" si="174"/>
        <v>4.6750000000000014E-2</v>
      </c>
      <c r="AL332" s="58">
        <v>42332</v>
      </c>
      <c r="AM332" s="61">
        <f t="shared" si="175"/>
        <v>4.6750000000000014E-2</v>
      </c>
      <c r="AO332" s="58">
        <v>41967</v>
      </c>
      <c r="AP332" s="61">
        <f t="shared" si="176"/>
        <v>5.408333333333333E-2</v>
      </c>
      <c r="AQ332" s="58">
        <v>42332</v>
      </c>
      <c r="AR332" s="61">
        <f t="shared" si="177"/>
        <v>4.3083333333333328E-2</v>
      </c>
    </row>
    <row r="333" spans="4:44">
      <c r="D333" s="14">
        <v>329</v>
      </c>
      <c r="E333" s="12">
        <v>41603</v>
      </c>
      <c r="F333" s="15">
        <f t="shared" si="178"/>
        <v>6.3250000000000001E-2</v>
      </c>
      <c r="H333" s="14">
        <v>329</v>
      </c>
      <c r="I333" s="12">
        <v>41968</v>
      </c>
      <c r="J333" s="15">
        <f t="shared" si="179"/>
        <v>5.9583333333333328E-2</v>
      </c>
      <c r="K333" s="4"/>
      <c r="L333" s="14">
        <v>329</v>
      </c>
      <c r="M333" s="12">
        <v>42333</v>
      </c>
      <c r="N333" s="15">
        <f t="shared" si="180"/>
        <v>5.0416666666666679E-2</v>
      </c>
      <c r="O333" s="31"/>
      <c r="P333" s="14">
        <v>329</v>
      </c>
      <c r="Q333" s="12">
        <v>41968</v>
      </c>
      <c r="R333" s="15">
        <f t="shared" si="181"/>
        <v>4.6750000000000014E-2</v>
      </c>
      <c r="S333" s="4"/>
      <c r="T333" s="14">
        <v>329</v>
      </c>
      <c r="U333" s="12">
        <v>42333</v>
      </c>
      <c r="V333" s="15">
        <f t="shared" si="182"/>
        <v>4.6750000000000014E-2</v>
      </c>
      <c r="AA333" s="14">
        <v>329</v>
      </c>
      <c r="AB333" s="12">
        <v>41237</v>
      </c>
      <c r="AC333" s="15">
        <f t="shared" si="183"/>
        <v>6.6916666666666652E-2</v>
      </c>
      <c r="AI333" s="60">
        <v>329</v>
      </c>
      <c r="AJ333" s="58">
        <v>41968</v>
      </c>
      <c r="AK333" s="61">
        <f t="shared" si="174"/>
        <v>4.6750000000000014E-2</v>
      </c>
      <c r="AL333" s="58">
        <v>42333</v>
      </c>
      <c r="AM333" s="61">
        <f t="shared" si="175"/>
        <v>4.6750000000000014E-2</v>
      </c>
      <c r="AO333" s="58">
        <v>41968</v>
      </c>
      <c r="AP333" s="61">
        <f t="shared" si="176"/>
        <v>5.408333333333333E-2</v>
      </c>
      <c r="AQ333" s="58">
        <v>42333</v>
      </c>
      <c r="AR333" s="61">
        <f t="shared" si="177"/>
        <v>4.3083333333333328E-2</v>
      </c>
    </row>
    <row r="334" spans="4:44">
      <c r="D334" s="14">
        <v>330</v>
      </c>
      <c r="E334" s="12">
        <v>41604</v>
      </c>
      <c r="F334" s="15">
        <f t="shared" si="178"/>
        <v>6.3250000000000001E-2</v>
      </c>
      <c r="H334" s="14">
        <v>330</v>
      </c>
      <c r="I334" s="12">
        <v>41969</v>
      </c>
      <c r="J334" s="15">
        <f t="shared" si="179"/>
        <v>5.9583333333333328E-2</v>
      </c>
      <c r="K334" s="4"/>
      <c r="L334" s="14">
        <v>330</v>
      </c>
      <c r="M334" s="12">
        <v>42334</v>
      </c>
      <c r="N334" s="15">
        <f t="shared" si="180"/>
        <v>5.0416666666666679E-2</v>
      </c>
      <c r="O334" s="31"/>
      <c r="P334" s="14">
        <v>330</v>
      </c>
      <c r="Q334" s="12">
        <v>41969</v>
      </c>
      <c r="R334" s="15">
        <f t="shared" si="181"/>
        <v>4.6750000000000014E-2</v>
      </c>
      <c r="S334" s="4"/>
      <c r="T334" s="14">
        <v>330</v>
      </c>
      <c r="U334" s="12">
        <v>42334</v>
      </c>
      <c r="V334" s="15">
        <f t="shared" si="182"/>
        <v>4.6750000000000014E-2</v>
      </c>
      <c r="AA334" s="14">
        <v>330</v>
      </c>
      <c r="AB334" s="12">
        <v>41238</v>
      </c>
      <c r="AC334" s="15">
        <f t="shared" si="183"/>
        <v>6.6916666666666652E-2</v>
      </c>
      <c r="AI334" s="60">
        <v>330</v>
      </c>
      <c r="AJ334" s="58">
        <v>41969</v>
      </c>
      <c r="AK334" s="61">
        <f t="shared" si="174"/>
        <v>4.6750000000000014E-2</v>
      </c>
      <c r="AL334" s="58">
        <v>42334</v>
      </c>
      <c r="AM334" s="61">
        <f t="shared" si="175"/>
        <v>4.6750000000000014E-2</v>
      </c>
      <c r="AO334" s="58">
        <v>41969</v>
      </c>
      <c r="AP334" s="61">
        <f t="shared" si="176"/>
        <v>5.408333333333333E-2</v>
      </c>
      <c r="AQ334" s="58">
        <v>42334</v>
      </c>
      <c r="AR334" s="61">
        <f t="shared" si="177"/>
        <v>4.3083333333333328E-2</v>
      </c>
    </row>
    <row r="335" spans="4:44">
      <c r="D335" s="14">
        <v>331</v>
      </c>
      <c r="E335" s="12">
        <v>41605</v>
      </c>
      <c r="F335" s="15">
        <f t="shared" si="178"/>
        <v>6.3250000000000001E-2</v>
      </c>
      <c r="H335" s="14">
        <v>331</v>
      </c>
      <c r="I335" s="12">
        <v>41970</v>
      </c>
      <c r="J335" s="15">
        <f t="shared" si="179"/>
        <v>5.9583333333333328E-2</v>
      </c>
      <c r="K335" s="4"/>
      <c r="L335" s="14">
        <v>331</v>
      </c>
      <c r="M335" s="12">
        <v>42335</v>
      </c>
      <c r="N335" s="15">
        <f t="shared" si="180"/>
        <v>5.0416666666666679E-2</v>
      </c>
      <c r="O335" s="31"/>
      <c r="P335" s="14">
        <v>331</v>
      </c>
      <c r="Q335" s="12">
        <v>41970</v>
      </c>
      <c r="R335" s="15">
        <f t="shared" si="181"/>
        <v>4.6750000000000014E-2</v>
      </c>
      <c r="S335" s="4"/>
      <c r="T335" s="14">
        <v>331</v>
      </c>
      <c r="U335" s="12">
        <v>42335</v>
      </c>
      <c r="V335" s="15">
        <f t="shared" si="182"/>
        <v>4.6750000000000014E-2</v>
      </c>
      <c r="AA335" s="14">
        <v>331</v>
      </c>
      <c r="AB335" s="12">
        <v>41239</v>
      </c>
      <c r="AC335" s="15">
        <f t="shared" si="183"/>
        <v>6.6916666666666652E-2</v>
      </c>
      <c r="AI335" s="60">
        <v>331</v>
      </c>
      <c r="AJ335" s="58">
        <v>41970</v>
      </c>
      <c r="AK335" s="61">
        <f t="shared" si="174"/>
        <v>4.6750000000000014E-2</v>
      </c>
      <c r="AL335" s="58">
        <v>42335</v>
      </c>
      <c r="AM335" s="61">
        <f t="shared" si="175"/>
        <v>4.6750000000000014E-2</v>
      </c>
      <c r="AO335" s="58">
        <v>41970</v>
      </c>
      <c r="AP335" s="61">
        <f t="shared" si="176"/>
        <v>5.408333333333333E-2</v>
      </c>
      <c r="AQ335" s="58">
        <v>42335</v>
      </c>
      <c r="AR335" s="61">
        <f t="shared" si="177"/>
        <v>4.3083333333333328E-2</v>
      </c>
    </row>
    <row r="336" spans="4:44">
      <c r="D336" s="14">
        <v>332</v>
      </c>
      <c r="E336" s="12">
        <v>41606</v>
      </c>
      <c r="F336" s="15">
        <f t="shared" si="178"/>
        <v>6.3250000000000001E-2</v>
      </c>
      <c r="H336" s="14">
        <v>332</v>
      </c>
      <c r="I336" s="12">
        <v>41971</v>
      </c>
      <c r="J336" s="15">
        <f t="shared" si="179"/>
        <v>5.9583333333333328E-2</v>
      </c>
      <c r="K336" s="4"/>
      <c r="L336" s="14">
        <v>332</v>
      </c>
      <c r="M336" s="12">
        <v>42336</v>
      </c>
      <c r="N336" s="15">
        <f t="shared" si="180"/>
        <v>5.0416666666666679E-2</v>
      </c>
      <c r="O336" s="31"/>
      <c r="P336" s="14">
        <v>332</v>
      </c>
      <c r="Q336" s="12">
        <v>41971</v>
      </c>
      <c r="R336" s="15">
        <f t="shared" si="181"/>
        <v>4.6750000000000014E-2</v>
      </c>
      <c r="S336" s="4"/>
      <c r="T336" s="14">
        <v>332</v>
      </c>
      <c r="U336" s="12">
        <v>42336</v>
      </c>
      <c r="V336" s="15">
        <f t="shared" si="182"/>
        <v>4.6750000000000014E-2</v>
      </c>
      <c r="AA336" s="14">
        <v>332</v>
      </c>
      <c r="AB336" s="12">
        <v>41240</v>
      </c>
      <c r="AC336" s="15">
        <f t="shared" si="183"/>
        <v>6.6916666666666652E-2</v>
      </c>
      <c r="AI336" s="60">
        <v>332</v>
      </c>
      <c r="AJ336" s="58">
        <v>41971</v>
      </c>
      <c r="AK336" s="61">
        <f t="shared" si="174"/>
        <v>4.6750000000000014E-2</v>
      </c>
      <c r="AL336" s="58">
        <v>42336</v>
      </c>
      <c r="AM336" s="61">
        <f t="shared" si="175"/>
        <v>4.6750000000000014E-2</v>
      </c>
      <c r="AO336" s="58">
        <v>41971</v>
      </c>
      <c r="AP336" s="61">
        <f t="shared" si="176"/>
        <v>5.408333333333333E-2</v>
      </c>
      <c r="AQ336" s="58">
        <v>42336</v>
      </c>
      <c r="AR336" s="61">
        <f t="shared" si="177"/>
        <v>4.3083333333333328E-2</v>
      </c>
    </row>
    <row r="337" spans="4:44">
      <c r="D337" s="14">
        <v>333</v>
      </c>
      <c r="E337" s="12">
        <v>41607</v>
      </c>
      <c r="F337" s="15">
        <f t="shared" si="178"/>
        <v>6.3250000000000001E-2</v>
      </c>
      <c r="H337" s="14">
        <v>333</v>
      </c>
      <c r="I337" s="12">
        <v>41972</v>
      </c>
      <c r="J337" s="15">
        <f t="shared" si="179"/>
        <v>5.9583333333333328E-2</v>
      </c>
      <c r="K337" s="4"/>
      <c r="L337" s="14">
        <v>333</v>
      </c>
      <c r="M337" s="12">
        <v>42337</v>
      </c>
      <c r="N337" s="15">
        <f t="shared" si="180"/>
        <v>5.0416666666666679E-2</v>
      </c>
      <c r="O337" s="31"/>
      <c r="P337" s="14">
        <v>333</v>
      </c>
      <c r="Q337" s="12">
        <v>41972</v>
      </c>
      <c r="R337" s="15">
        <f t="shared" si="181"/>
        <v>4.6750000000000014E-2</v>
      </c>
      <c r="S337" s="4"/>
      <c r="T337" s="14">
        <v>333</v>
      </c>
      <c r="U337" s="12">
        <v>42337</v>
      </c>
      <c r="V337" s="15">
        <f t="shared" si="182"/>
        <v>4.6750000000000014E-2</v>
      </c>
      <c r="AA337" s="14">
        <v>333</v>
      </c>
      <c r="AB337" s="12">
        <v>41241</v>
      </c>
      <c r="AC337" s="15">
        <f t="shared" si="183"/>
        <v>6.6916666666666652E-2</v>
      </c>
      <c r="AI337" s="60">
        <v>333</v>
      </c>
      <c r="AJ337" s="58">
        <v>41972</v>
      </c>
      <c r="AK337" s="61">
        <f t="shared" si="174"/>
        <v>4.6750000000000014E-2</v>
      </c>
      <c r="AL337" s="58">
        <v>42337</v>
      </c>
      <c r="AM337" s="61">
        <f t="shared" si="175"/>
        <v>4.6750000000000014E-2</v>
      </c>
      <c r="AO337" s="58">
        <v>41972</v>
      </c>
      <c r="AP337" s="61">
        <f t="shared" si="176"/>
        <v>5.408333333333333E-2</v>
      </c>
      <c r="AQ337" s="58">
        <v>42337</v>
      </c>
      <c r="AR337" s="61">
        <f t="shared" si="177"/>
        <v>4.3083333333333328E-2</v>
      </c>
    </row>
    <row r="338" spans="4:44">
      <c r="D338" s="14">
        <v>334</v>
      </c>
      <c r="E338" s="12">
        <v>41608</v>
      </c>
      <c r="F338" s="15">
        <f t="shared" si="178"/>
        <v>6.3250000000000001E-2</v>
      </c>
      <c r="H338" s="14">
        <v>334</v>
      </c>
      <c r="I338" s="12">
        <v>41973</v>
      </c>
      <c r="J338" s="15">
        <f t="shared" si="179"/>
        <v>5.9583333333333328E-2</v>
      </c>
      <c r="K338" s="4"/>
      <c r="L338" s="14">
        <v>334</v>
      </c>
      <c r="M338" s="12">
        <v>42338</v>
      </c>
      <c r="N338" s="15">
        <f t="shared" si="180"/>
        <v>5.0416666666666679E-2</v>
      </c>
      <c r="O338" s="31"/>
      <c r="P338" s="14">
        <v>334</v>
      </c>
      <c r="Q338" s="12">
        <v>41973</v>
      </c>
      <c r="R338" s="15">
        <f t="shared" si="181"/>
        <v>4.6750000000000014E-2</v>
      </c>
      <c r="S338" s="4"/>
      <c r="T338" s="14">
        <v>334</v>
      </c>
      <c r="U338" s="12">
        <v>42338</v>
      </c>
      <c r="V338" s="15">
        <f t="shared" si="182"/>
        <v>4.6750000000000014E-2</v>
      </c>
      <c r="AA338" s="14">
        <v>334</v>
      </c>
      <c r="AB338" s="12">
        <v>41242</v>
      </c>
      <c r="AC338" s="15">
        <f t="shared" si="183"/>
        <v>6.6916666666666652E-2</v>
      </c>
      <c r="AI338" s="60">
        <v>334</v>
      </c>
      <c r="AJ338" s="58">
        <v>41973</v>
      </c>
      <c r="AK338" s="61">
        <f t="shared" si="174"/>
        <v>4.6750000000000014E-2</v>
      </c>
      <c r="AL338" s="58">
        <v>42338</v>
      </c>
      <c r="AM338" s="61">
        <f t="shared" si="175"/>
        <v>4.6750000000000014E-2</v>
      </c>
      <c r="AO338" s="58">
        <v>41973</v>
      </c>
      <c r="AP338" s="61">
        <f t="shared" si="176"/>
        <v>5.408333333333333E-2</v>
      </c>
      <c r="AQ338" s="58">
        <v>42338</v>
      </c>
      <c r="AR338" s="61">
        <f t="shared" si="177"/>
        <v>4.3083333333333328E-2</v>
      </c>
    </row>
    <row r="339" spans="4:44">
      <c r="D339" s="14">
        <v>335</v>
      </c>
      <c r="E339" s="12">
        <v>41609</v>
      </c>
      <c r="F339" s="29">
        <f t="shared" ref="F339:F358" si="184">F$310+F$4/D$4/100</f>
        <v>6.6125000000000003E-2</v>
      </c>
      <c r="H339" s="14">
        <v>335</v>
      </c>
      <c r="I339" s="12">
        <v>41974</v>
      </c>
      <c r="J339" s="29">
        <f t="shared" ref="J339:J358" si="185">J$310+J$4/H$4/100</f>
        <v>6.2291666666666662E-2</v>
      </c>
      <c r="K339" s="4"/>
      <c r="L339" s="14">
        <v>335</v>
      </c>
      <c r="M339" s="12">
        <v>42339</v>
      </c>
      <c r="N339" s="29">
        <f t="shared" ref="N339:N358" si="186">N$310+N$4/L$4/100</f>
        <v>5.270833333333335E-2</v>
      </c>
      <c r="O339" s="31"/>
      <c r="P339" s="14">
        <v>335</v>
      </c>
      <c r="Q339" s="12">
        <v>41974</v>
      </c>
      <c r="R339" s="29">
        <f t="shared" ref="R339:R358" si="187">R$310+R$4/P$4/100</f>
        <v>4.8875000000000016E-2</v>
      </c>
      <c r="S339" s="4"/>
      <c r="T339" s="14">
        <v>335</v>
      </c>
      <c r="U339" s="12">
        <v>42339</v>
      </c>
      <c r="V339" s="29">
        <f t="shared" ref="V339:V358" si="188">V$310+V$4/T$4/100</f>
        <v>4.8875000000000016E-2</v>
      </c>
      <c r="AA339" s="30">
        <v>335</v>
      </c>
      <c r="AB339" s="12">
        <v>41243</v>
      </c>
      <c r="AC339" s="15">
        <f t="shared" si="183"/>
        <v>6.6916666666666652E-2</v>
      </c>
      <c r="AI339" s="60">
        <v>335</v>
      </c>
      <c r="AJ339" s="63">
        <v>41974</v>
      </c>
      <c r="AK339" s="61">
        <f t="shared" si="174"/>
        <v>4.6750000000000014E-2</v>
      </c>
      <c r="AL339" s="58">
        <v>42339</v>
      </c>
      <c r="AM339" s="61">
        <f t="shared" si="175"/>
        <v>4.6750000000000014E-2</v>
      </c>
      <c r="AO339" s="63">
        <v>41974</v>
      </c>
      <c r="AP339" s="61">
        <f t="shared" si="176"/>
        <v>5.408333333333333E-2</v>
      </c>
      <c r="AQ339" s="58">
        <v>42339</v>
      </c>
      <c r="AR339" s="61">
        <f t="shared" si="177"/>
        <v>4.3083333333333328E-2</v>
      </c>
    </row>
    <row r="340" spans="4:44">
      <c r="D340" s="14">
        <v>336</v>
      </c>
      <c r="E340" s="12">
        <v>41610</v>
      </c>
      <c r="F340" s="15">
        <f t="shared" si="184"/>
        <v>6.6125000000000003E-2</v>
      </c>
      <c r="H340" s="14">
        <v>336</v>
      </c>
      <c r="I340" s="12">
        <v>41975</v>
      </c>
      <c r="J340" s="15">
        <f t="shared" si="185"/>
        <v>6.2291666666666662E-2</v>
      </c>
      <c r="K340" s="4"/>
      <c r="L340" s="14">
        <v>336</v>
      </c>
      <c r="M340" s="12">
        <v>42340</v>
      </c>
      <c r="N340" s="15">
        <f t="shared" si="186"/>
        <v>5.270833333333335E-2</v>
      </c>
      <c r="O340" s="31"/>
      <c r="P340" s="14">
        <v>336</v>
      </c>
      <c r="Q340" s="12">
        <v>41975</v>
      </c>
      <c r="R340" s="15">
        <f t="shared" si="187"/>
        <v>4.8875000000000016E-2</v>
      </c>
      <c r="S340" s="4"/>
      <c r="T340" s="14">
        <v>336</v>
      </c>
      <c r="U340" s="12">
        <v>42340</v>
      </c>
      <c r="V340" s="15">
        <f t="shared" si="188"/>
        <v>4.8875000000000016E-2</v>
      </c>
      <c r="AA340" s="30">
        <v>336</v>
      </c>
      <c r="AB340" s="28">
        <v>41244</v>
      </c>
      <c r="AC340" s="29">
        <f t="shared" ref="AC340:AC359" si="189">AC$310+AC$4/AA$4/100</f>
        <v>6.9958333333333317E-2</v>
      </c>
      <c r="AI340" s="60">
        <v>336</v>
      </c>
      <c r="AJ340" s="58">
        <v>41975</v>
      </c>
      <c r="AK340" s="61">
        <f t="shared" si="174"/>
        <v>4.6750000000000014E-2</v>
      </c>
      <c r="AL340" s="58">
        <v>42340</v>
      </c>
      <c r="AM340" s="61">
        <f t="shared" si="175"/>
        <v>4.6750000000000014E-2</v>
      </c>
      <c r="AO340" s="58">
        <v>41975</v>
      </c>
      <c r="AP340" s="61">
        <f t="shared" si="176"/>
        <v>5.408333333333333E-2</v>
      </c>
      <c r="AQ340" s="58">
        <v>42340</v>
      </c>
      <c r="AR340" s="61">
        <f t="shared" si="177"/>
        <v>4.3083333333333328E-2</v>
      </c>
    </row>
    <row r="341" spans="4:44">
      <c r="D341" s="14">
        <v>337</v>
      </c>
      <c r="E341" s="12">
        <v>41611</v>
      </c>
      <c r="F341" s="15">
        <f t="shared" si="184"/>
        <v>6.6125000000000003E-2</v>
      </c>
      <c r="H341" s="14">
        <v>337</v>
      </c>
      <c r="I341" s="12">
        <v>41976</v>
      </c>
      <c r="J341" s="15">
        <f t="shared" si="185"/>
        <v>6.2291666666666662E-2</v>
      </c>
      <c r="K341" s="4"/>
      <c r="L341" s="14">
        <v>337</v>
      </c>
      <c r="M341" s="12">
        <v>42341</v>
      </c>
      <c r="N341" s="15">
        <f t="shared" si="186"/>
        <v>5.270833333333335E-2</v>
      </c>
      <c r="O341" s="31"/>
      <c r="P341" s="14">
        <v>337</v>
      </c>
      <c r="Q341" s="12">
        <v>41976</v>
      </c>
      <c r="R341" s="15">
        <f t="shared" si="187"/>
        <v>4.8875000000000016E-2</v>
      </c>
      <c r="S341" s="4"/>
      <c r="T341" s="14">
        <v>337</v>
      </c>
      <c r="U341" s="12">
        <v>42341</v>
      </c>
      <c r="V341" s="15">
        <f t="shared" si="188"/>
        <v>4.8875000000000016E-2</v>
      </c>
      <c r="AA341" s="14">
        <v>337</v>
      </c>
      <c r="AB341" s="12">
        <v>41245</v>
      </c>
      <c r="AC341" s="15">
        <f t="shared" si="189"/>
        <v>6.9958333333333317E-2</v>
      </c>
      <c r="AI341" s="60">
        <v>337</v>
      </c>
      <c r="AJ341" s="58">
        <v>41976</v>
      </c>
      <c r="AK341" s="61">
        <f t="shared" si="174"/>
        <v>4.6750000000000014E-2</v>
      </c>
      <c r="AL341" s="58">
        <v>42341</v>
      </c>
      <c r="AM341" s="61">
        <f t="shared" si="175"/>
        <v>4.6750000000000014E-2</v>
      </c>
      <c r="AO341" s="58">
        <v>41976</v>
      </c>
      <c r="AP341" s="61">
        <f t="shared" si="176"/>
        <v>5.408333333333333E-2</v>
      </c>
      <c r="AQ341" s="58">
        <v>42341</v>
      </c>
      <c r="AR341" s="61">
        <f t="shared" si="177"/>
        <v>4.3083333333333328E-2</v>
      </c>
    </row>
    <row r="342" spans="4:44">
      <c r="D342" s="14">
        <v>338</v>
      </c>
      <c r="E342" s="12">
        <v>41612</v>
      </c>
      <c r="F342" s="15">
        <f t="shared" si="184"/>
        <v>6.6125000000000003E-2</v>
      </c>
      <c r="H342" s="14">
        <v>338</v>
      </c>
      <c r="I342" s="12">
        <v>41977</v>
      </c>
      <c r="J342" s="15">
        <f t="shared" si="185"/>
        <v>6.2291666666666662E-2</v>
      </c>
      <c r="K342" s="4"/>
      <c r="L342" s="14">
        <v>338</v>
      </c>
      <c r="M342" s="12">
        <v>42342</v>
      </c>
      <c r="N342" s="15">
        <f t="shared" si="186"/>
        <v>5.270833333333335E-2</v>
      </c>
      <c r="O342" s="31"/>
      <c r="P342" s="14">
        <v>338</v>
      </c>
      <c r="Q342" s="12">
        <v>41977</v>
      </c>
      <c r="R342" s="15">
        <f t="shared" si="187"/>
        <v>4.8875000000000016E-2</v>
      </c>
      <c r="S342" s="4"/>
      <c r="T342" s="14">
        <v>338</v>
      </c>
      <c r="U342" s="12">
        <v>42342</v>
      </c>
      <c r="V342" s="15">
        <f t="shared" si="188"/>
        <v>4.8875000000000016E-2</v>
      </c>
      <c r="AA342" s="14">
        <v>338</v>
      </c>
      <c r="AB342" s="12">
        <v>41246</v>
      </c>
      <c r="AC342" s="15">
        <f t="shared" si="189"/>
        <v>6.9958333333333317E-2</v>
      </c>
      <c r="AI342" s="60">
        <v>338</v>
      </c>
      <c r="AJ342" s="58">
        <v>41977</v>
      </c>
      <c r="AK342" s="61">
        <f t="shared" si="174"/>
        <v>4.6750000000000014E-2</v>
      </c>
      <c r="AL342" s="58">
        <v>42342</v>
      </c>
      <c r="AM342" s="61">
        <f t="shared" si="175"/>
        <v>4.6750000000000014E-2</v>
      </c>
      <c r="AO342" s="58">
        <v>41977</v>
      </c>
      <c r="AP342" s="61">
        <f t="shared" si="176"/>
        <v>5.408333333333333E-2</v>
      </c>
      <c r="AQ342" s="58">
        <v>42342</v>
      </c>
      <c r="AR342" s="61">
        <f t="shared" si="177"/>
        <v>4.3083333333333328E-2</v>
      </c>
    </row>
    <row r="343" spans="4:44">
      <c r="D343" s="14">
        <v>339</v>
      </c>
      <c r="E343" s="12">
        <v>41613</v>
      </c>
      <c r="F343" s="15">
        <f t="shared" si="184"/>
        <v>6.6125000000000003E-2</v>
      </c>
      <c r="H343" s="14">
        <v>339</v>
      </c>
      <c r="I343" s="12">
        <v>41978</v>
      </c>
      <c r="J343" s="15">
        <f t="shared" si="185"/>
        <v>6.2291666666666662E-2</v>
      </c>
      <c r="K343" s="4"/>
      <c r="L343" s="14">
        <v>339</v>
      </c>
      <c r="M343" s="12">
        <v>42343</v>
      </c>
      <c r="N343" s="15">
        <f t="shared" si="186"/>
        <v>5.270833333333335E-2</v>
      </c>
      <c r="O343" s="31"/>
      <c r="P343" s="14">
        <v>339</v>
      </c>
      <c r="Q343" s="12">
        <v>41978</v>
      </c>
      <c r="R343" s="15">
        <f t="shared" si="187"/>
        <v>4.8875000000000016E-2</v>
      </c>
      <c r="S343" s="4"/>
      <c r="T343" s="14">
        <v>339</v>
      </c>
      <c r="U343" s="12">
        <v>42343</v>
      </c>
      <c r="V343" s="15">
        <f t="shared" si="188"/>
        <v>4.8875000000000016E-2</v>
      </c>
      <c r="AA343" s="14">
        <v>339</v>
      </c>
      <c r="AB343" s="12">
        <v>41247</v>
      </c>
      <c r="AC343" s="15">
        <f t="shared" si="189"/>
        <v>6.9958333333333317E-2</v>
      </c>
      <c r="AI343" s="60">
        <v>339</v>
      </c>
      <c r="AJ343" s="58">
        <v>41978</v>
      </c>
      <c r="AK343" s="61">
        <f t="shared" si="174"/>
        <v>4.6750000000000014E-2</v>
      </c>
      <c r="AL343" s="58">
        <v>42343</v>
      </c>
      <c r="AM343" s="61">
        <f t="shared" si="175"/>
        <v>4.6750000000000014E-2</v>
      </c>
      <c r="AO343" s="58">
        <v>41978</v>
      </c>
      <c r="AP343" s="61">
        <f t="shared" si="176"/>
        <v>5.408333333333333E-2</v>
      </c>
      <c r="AQ343" s="58">
        <v>42343</v>
      </c>
      <c r="AR343" s="61">
        <f t="shared" si="177"/>
        <v>4.3083333333333328E-2</v>
      </c>
    </row>
    <row r="344" spans="4:44">
      <c r="D344" s="14">
        <v>340</v>
      </c>
      <c r="E344" s="12">
        <v>41614</v>
      </c>
      <c r="F344" s="15">
        <f t="shared" si="184"/>
        <v>6.6125000000000003E-2</v>
      </c>
      <c r="H344" s="14">
        <v>340</v>
      </c>
      <c r="I344" s="12">
        <v>41979</v>
      </c>
      <c r="J344" s="15">
        <f t="shared" si="185"/>
        <v>6.2291666666666662E-2</v>
      </c>
      <c r="K344" s="4"/>
      <c r="L344" s="14">
        <v>340</v>
      </c>
      <c r="M344" s="12">
        <v>42344</v>
      </c>
      <c r="N344" s="15">
        <f t="shared" si="186"/>
        <v>5.270833333333335E-2</v>
      </c>
      <c r="O344" s="31"/>
      <c r="P344" s="14">
        <v>340</v>
      </c>
      <c r="Q344" s="12">
        <v>41979</v>
      </c>
      <c r="R344" s="15">
        <f t="shared" si="187"/>
        <v>4.8875000000000016E-2</v>
      </c>
      <c r="S344" s="4"/>
      <c r="T344" s="14">
        <v>340</v>
      </c>
      <c r="U344" s="12">
        <v>42344</v>
      </c>
      <c r="V344" s="15">
        <f t="shared" si="188"/>
        <v>4.8875000000000016E-2</v>
      </c>
      <c r="AA344" s="14">
        <v>340</v>
      </c>
      <c r="AB344" s="12">
        <v>41248</v>
      </c>
      <c r="AC344" s="15">
        <f t="shared" si="189"/>
        <v>6.9958333333333317E-2</v>
      </c>
      <c r="AI344" s="60">
        <v>340</v>
      </c>
      <c r="AJ344" s="58">
        <v>41979</v>
      </c>
      <c r="AK344" s="64">
        <f t="shared" ref="AK344:AK369" si="190">AK$343+AK$4/AI$4/100</f>
        <v>5.1000000000000018E-2</v>
      </c>
      <c r="AL344" s="58">
        <v>42344</v>
      </c>
      <c r="AM344" s="64">
        <f t="shared" ref="AM344:AM369" si="191">AM$343+AM$4/AI$4/100</f>
        <v>5.1000000000000018E-2</v>
      </c>
      <c r="AO344" s="58">
        <v>41979</v>
      </c>
      <c r="AP344" s="64">
        <f t="shared" ref="AP344:AP369" si="192">AP$343+AP$4/AI$4/100</f>
        <v>5.8999999999999997E-2</v>
      </c>
      <c r="AQ344" s="58">
        <v>42344</v>
      </c>
      <c r="AR344" s="64">
        <f t="shared" ref="AR344:AR369" si="193">AR$343+AR$4/AI$4/100</f>
        <v>4.6999999999999993E-2</v>
      </c>
    </row>
    <row r="345" spans="4:44">
      <c r="D345" s="14">
        <v>341</v>
      </c>
      <c r="E345" s="12">
        <v>41615</v>
      </c>
      <c r="F345" s="15">
        <f t="shared" si="184"/>
        <v>6.6125000000000003E-2</v>
      </c>
      <c r="H345" s="14">
        <v>341</v>
      </c>
      <c r="I345" s="12">
        <v>41980</v>
      </c>
      <c r="J345" s="15">
        <f t="shared" si="185"/>
        <v>6.2291666666666662E-2</v>
      </c>
      <c r="K345" s="4"/>
      <c r="L345" s="14">
        <v>341</v>
      </c>
      <c r="M345" s="12">
        <v>42345</v>
      </c>
      <c r="N345" s="15">
        <f t="shared" si="186"/>
        <v>5.270833333333335E-2</v>
      </c>
      <c r="O345" s="31"/>
      <c r="P345" s="14">
        <v>341</v>
      </c>
      <c r="Q345" s="12">
        <v>41980</v>
      </c>
      <c r="R345" s="15">
        <f t="shared" si="187"/>
        <v>4.8875000000000016E-2</v>
      </c>
      <c r="S345" s="4"/>
      <c r="T345" s="14">
        <v>341</v>
      </c>
      <c r="U345" s="12">
        <v>42345</v>
      </c>
      <c r="V345" s="15">
        <f t="shared" si="188"/>
        <v>4.8875000000000016E-2</v>
      </c>
      <c r="AA345" s="14">
        <v>341</v>
      </c>
      <c r="AB345" s="12">
        <v>41249</v>
      </c>
      <c r="AC345" s="15">
        <f t="shared" si="189"/>
        <v>6.9958333333333317E-2</v>
      </c>
      <c r="AI345" s="60">
        <v>341</v>
      </c>
      <c r="AJ345" s="58">
        <v>41980</v>
      </c>
      <c r="AK345" s="61">
        <f t="shared" si="190"/>
        <v>5.1000000000000018E-2</v>
      </c>
      <c r="AL345" s="58">
        <v>42345</v>
      </c>
      <c r="AM345" s="61">
        <f t="shared" si="191"/>
        <v>5.1000000000000018E-2</v>
      </c>
      <c r="AO345" s="58">
        <v>41980</v>
      </c>
      <c r="AP345" s="61">
        <f t="shared" si="192"/>
        <v>5.8999999999999997E-2</v>
      </c>
      <c r="AQ345" s="58">
        <v>42345</v>
      </c>
      <c r="AR345" s="61">
        <f t="shared" si="193"/>
        <v>4.6999999999999993E-2</v>
      </c>
    </row>
    <row r="346" spans="4:44">
      <c r="D346" s="14">
        <v>342</v>
      </c>
      <c r="E346" s="12">
        <v>41616</v>
      </c>
      <c r="F346" s="15">
        <f t="shared" si="184"/>
        <v>6.6125000000000003E-2</v>
      </c>
      <c r="H346" s="14">
        <v>342</v>
      </c>
      <c r="I346" s="12">
        <v>41981</v>
      </c>
      <c r="J346" s="15">
        <f t="shared" si="185"/>
        <v>6.2291666666666662E-2</v>
      </c>
      <c r="K346" s="4"/>
      <c r="L346" s="14">
        <v>342</v>
      </c>
      <c r="M346" s="12">
        <v>42346</v>
      </c>
      <c r="N346" s="15">
        <f t="shared" si="186"/>
        <v>5.270833333333335E-2</v>
      </c>
      <c r="O346" s="31"/>
      <c r="P346" s="14">
        <v>342</v>
      </c>
      <c r="Q346" s="12">
        <v>41981</v>
      </c>
      <c r="R346" s="15">
        <f t="shared" si="187"/>
        <v>4.8875000000000016E-2</v>
      </c>
      <c r="S346" s="4"/>
      <c r="T346" s="14">
        <v>342</v>
      </c>
      <c r="U346" s="12">
        <v>42346</v>
      </c>
      <c r="V346" s="15">
        <f t="shared" si="188"/>
        <v>4.8875000000000016E-2</v>
      </c>
      <c r="AA346" s="14">
        <v>342</v>
      </c>
      <c r="AB346" s="12">
        <v>41250</v>
      </c>
      <c r="AC346" s="15">
        <f t="shared" si="189"/>
        <v>6.9958333333333317E-2</v>
      </c>
      <c r="AI346" s="60">
        <v>342</v>
      </c>
      <c r="AJ346" s="58">
        <v>41981</v>
      </c>
      <c r="AK346" s="61">
        <f t="shared" si="190"/>
        <v>5.1000000000000018E-2</v>
      </c>
      <c r="AL346" s="58">
        <v>42346</v>
      </c>
      <c r="AM346" s="61">
        <f t="shared" si="191"/>
        <v>5.1000000000000018E-2</v>
      </c>
      <c r="AO346" s="58">
        <v>41981</v>
      </c>
      <c r="AP346" s="61">
        <f t="shared" si="192"/>
        <v>5.8999999999999997E-2</v>
      </c>
      <c r="AQ346" s="58">
        <v>42346</v>
      </c>
      <c r="AR346" s="61">
        <f t="shared" si="193"/>
        <v>4.6999999999999993E-2</v>
      </c>
    </row>
    <row r="347" spans="4:44">
      <c r="D347" s="14">
        <v>343</v>
      </c>
      <c r="E347" s="12">
        <v>41617</v>
      </c>
      <c r="F347" s="15">
        <f t="shared" si="184"/>
        <v>6.6125000000000003E-2</v>
      </c>
      <c r="H347" s="14">
        <v>343</v>
      </c>
      <c r="I347" s="12">
        <v>41982</v>
      </c>
      <c r="J347" s="15">
        <f t="shared" si="185"/>
        <v>6.2291666666666662E-2</v>
      </c>
      <c r="K347" s="4"/>
      <c r="L347" s="14">
        <v>343</v>
      </c>
      <c r="M347" s="12">
        <v>42347</v>
      </c>
      <c r="N347" s="15">
        <f t="shared" si="186"/>
        <v>5.270833333333335E-2</v>
      </c>
      <c r="O347" s="31"/>
      <c r="P347" s="14">
        <v>343</v>
      </c>
      <c r="Q347" s="12">
        <v>41982</v>
      </c>
      <c r="R347" s="15">
        <f t="shared" si="187"/>
        <v>4.8875000000000016E-2</v>
      </c>
      <c r="S347" s="4"/>
      <c r="T347" s="14">
        <v>343</v>
      </c>
      <c r="U347" s="12">
        <v>42347</v>
      </c>
      <c r="V347" s="15">
        <f t="shared" si="188"/>
        <v>4.8875000000000016E-2</v>
      </c>
      <c r="AA347" s="14">
        <v>343</v>
      </c>
      <c r="AB347" s="12">
        <v>41251</v>
      </c>
      <c r="AC347" s="15">
        <f t="shared" si="189"/>
        <v>6.9958333333333317E-2</v>
      </c>
      <c r="AI347" s="60">
        <v>343</v>
      </c>
      <c r="AJ347" s="58">
        <v>41982</v>
      </c>
      <c r="AK347" s="61">
        <f t="shared" si="190"/>
        <v>5.1000000000000018E-2</v>
      </c>
      <c r="AL347" s="58">
        <v>42347</v>
      </c>
      <c r="AM347" s="61">
        <f t="shared" si="191"/>
        <v>5.1000000000000018E-2</v>
      </c>
      <c r="AO347" s="58">
        <v>41982</v>
      </c>
      <c r="AP347" s="61">
        <f t="shared" si="192"/>
        <v>5.8999999999999997E-2</v>
      </c>
      <c r="AQ347" s="58">
        <v>42347</v>
      </c>
      <c r="AR347" s="61">
        <f t="shared" si="193"/>
        <v>4.6999999999999993E-2</v>
      </c>
    </row>
    <row r="348" spans="4:44">
      <c r="D348" s="14">
        <v>344</v>
      </c>
      <c r="E348" s="12">
        <v>41618</v>
      </c>
      <c r="F348" s="15">
        <f t="shared" si="184"/>
        <v>6.6125000000000003E-2</v>
      </c>
      <c r="H348" s="14">
        <v>344</v>
      </c>
      <c r="I348" s="12">
        <v>41983</v>
      </c>
      <c r="J348" s="15">
        <f t="shared" si="185"/>
        <v>6.2291666666666662E-2</v>
      </c>
      <c r="K348" s="4"/>
      <c r="L348" s="14">
        <v>344</v>
      </c>
      <c r="M348" s="12">
        <v>42348</v>
      </c>
      <c r="N348" s="15">
        <f t="shared" si="186"/>
        <v>5.270833333333335E-2</v>
      </c>
      <c r="O348" s="31"/>
      <c r="P348" s="14">
        <v>344</v>
      </c>
      <c r="Q348" s="12">
        <v>41983</v>
      </c>
      <c r="R348" s="15">
        <f t="shared" si="187"/>
        <v>4.8875000000000016E-2</v>
      </c>
      <c r="S348" s="4"/>
      <c r="T348" s="14">
        <v>344</v>
      </c>
      <c r="U348" s="12">
        <v>42348</v>
      </c>
      <c r="V348" s="15">
        <f t="shared" si="188"/>
        <v>4.8875000000000016E-2</v>
      </c>
      <c r="AA348" s="14">
        <v>344</v>
      </c>
      <c r="AB348" s="12">
        <v>41252</v>
      </c>
      <c r="AC348" s="15">
        <f t="shared" si="189"/>
        <v>6.9958333333333317E-2</v>
      </c>
      <c r="AI348" s="60">
        <v>344</v>
      </c>
      <c r="AJ348" s="58">
        <v>41983</v>
      </c>
      <c r="AK348" s="61">
        <f t="shared" si="190"/>
        <v>5.1000000000000018E-2</v>
      </c>
      <c r="AL348" s="58">
        <v>42348</v>
      </c>
      <c r="AM348" s="61">
        <f t="shared" si="191"/>
        <v>5.1000000000000018E-2</v>
      </c>
      <c r="AO348" s="58">
        <v>41983</v>
      </c>
      <c r="AP348" s="61">
        <f t="shared" si="192"/>
        <v>5.8999999999999997E-2</v>
      </c>
      <c r="AQ348" s="58">
        <v>42348</v>
      </c>
      <c r="AR348" s="61">
        <f t="shared" si="193"/>
        <v>4.6999999999999993E-2</v>
      </c>
    </row>
    <row r="349" spans="4:44">
      <c r="D349" s="14">
        <v>345</v>
      </c>
      <c r="E349" s="12">
        <v>41619</v>
      </c>
      <c r="F349" s="15">
        <f t="shared" si="184"/>
        <v>6.6125000000000003E-2</v>
      </c>
      <c r="H349" s="14">
        <v>345</v>
      </c>
      <c r="I349" s="12">
        <v>41984</v>
      </c>
      <c r="J349" s="15">
        <f t="shared" si="185"/>
        <v>6.2291666666666662E-2</v>
      </c>
      <c r="K349" s="4"/>
      <c r="L349" s="14">
        <v>345</v>
      </c>
      <c r="M349" s="12">
        <v>42349</v>
      </c>
      <c r="N349" s="15">
        <f t="shared" si="186"/>
        <v>5.270833333333335E-2</v>
      </c>
      <c r="O349" s="31"/>
      <c r="P349" s="14">
        <v>345</v>
      </c>
      <c r="Q349" s="12">
        <v>41984</v>
      </c>
      <c r="R349" s="15">
        <f t="shared" si="187"/>
        <v>4.8875000000000016E-2</v>
      </c>
      <c r="S349" s="4"/>
      <c r="T349" s="14">
        <v>345</v>
      </c>
      <c r="U349" s="12">
        <v>42349</v>
      </c>
      <c r="V349" s="15">
        <f t="shared" si="188"/>
        <v>4.8875000000000016E-2</v>
      </c>
      <c r="AA349" s="14">
        <v>345</v>
      </c>
      <c r="AB349" s="12">
        <v>41253</v>
      </c>
      <c r="AC349" s="15">
        <f t="shared" si="189"/>
        <v>6.9958333333333317E-2</v>
      </c>
      <c r="AI349" s="60">
        <v>345</v>
      </c>
      <c r="AJ349" s="58">
        <v>41984</v>
      </c>
      <c r="AK349" s="61">
        <f t="shared" si="190"/>
        <v>5.1000000000000018E-2</v>
      </c>
      <c r="AL349" s="58">
        <v>42349</v>
      </c>
      <c r="AM349" s="61">
        <f t="shared" si="191"/>
        <v>5.1000000000000018E-2</v>
      </c>
      <c r="AO349" s="58">
        <v>41984</v>
      </c>
      <c r="AP349" s="61">
        <f t="shared" si="192"/>
        <v>5.8999999999999997E-2</v>
      </c>
      <c r="AQ349" s="58">
        <v>42349</v>
      </c>
      <c r="AR349" s="61">
        <f t="shared" si="193"/>
        <v>4.6999999999999993E-2</v>
      </c>
    </row>
    <row r="350" spans="4:44">
      <c r="D350" s="14">
        <v>346</v>
      </c>
      <c r="E350" s="12">
        <v>41620</v>
      </c>
      <c r="F350" s="15">
        <f t="shared" si="184"/>
        <v>6.6125000000000003E-2</v>
      </c>
      <c r="H350" s="14">
        <v>346</v>
      </c>
      <c r="I350" s="12">
        <v>41985</v>
      </c>
      <c r="J350" s="15">
        <f t="shared" si="185"/>
        <v>6.2291666666666662E-2</v>
      </c>
      <c r="K350" s="4"/>
      <c r="L350" s="14">
        <v>346</v>
      </c>
      <c r="M350" s="12">
        <v>42350</v>
      </c>
      <c r="N350" s="15">
        <f t="shared" si="186"/>
        <v>5.270833333333335E-2</v>
      </c>
      <c r="O350" s="31"/>
      <c r="P350" s="14">
        <v>346</v>
      </c>
      <c r="Q350" s="12">
        <v>41985</v>
      </c>
      <c r="R350" s="15">
        <f t="shared" si="187"/>
        <v>4.8875000000000016E-2</v>
      </c>
      <c r="S350" s="4"/>
      <c r="T350" s="14">
        <v>346</v>
      </c>
      <c r="U350" s="12">
        <v>42350</v>
      </c>
      <c r="V350" s="15">
        <f t="shared" si="188"/>
        <v>4.8875000000000016E-2</v>
      </c>
      <c r="AA350" s="14">
        <v>346</v>
      </c>
      <c r="AB350" s="12">
        <v>41254</v>
      </c>
      <c r="AC350" s="15">
        <f t="shared" si="189"/>
        <v>6.9958333333333317E-2</v>
      </c>
      <c r="AI350" s="60">
        <v>346</v>
      </c>
      <c r="AJ350" s="58">
        <v>41985</v>
      </c>
      <c r="AK350" s="61">
        <f t="shared" si="190"/>
        <v>5.1000000000000018E-2</v>
      </c>
      <c r="AL350" s="58">
        <v>42350</v>
      </c>
      <c r="AM350" s="61">
        <f t="shared" si="191"/>
        <v>5.1000000000000018E-2</v>
      </c>
      <c r="AO350" s="58">
        <v>41985</v>
      </c>
      <c r="AP350" s="61">
        <f t="shared" si="192"/>
        <v>5.8999999999999997E-2</v>
      </c>
      <c r="AQ350" s="58">
        <v>42350</v>
      </c>
      <c r="AR350" s="61">
        <f t="shared" si="193"/>
        <v>4.6999999999999993E-2</v>
      </c>
    </row>
    <row r="351" spans="4:44">
      <c r="D351" s="14">
        <v>347</v>
      </c>
      <c r="E351" s="12">
        <v>41621</v>
      </c>
      <c r="F351" s="15">
        <f t="shared" si="184"/>
        <v>6.6125000000000003E-2</v>
      </c>
      <c r="H351" s="14">
        <v>347</v>
      </c>
      <c r="I351" s="12">
        <v>41986</v>
      </c>
      <c r="J351" s="15">
        <f t="shared" si="185"/>
        <v>6.2291666666666662E-2</v>
      </c>
      <c r="K351" s="4"/>
      <c r="L351" s="14">
        <v>347</v>
      </c>
      <c r="M351" s="12">
        <v>42351</v>
      </c>
      <c r="N351" s="15">
        <f t="shared" si="186"/>
        <v>5.270833333333335E-2</v>
      </c>
      <c r="O351" s="31"/>
      <c r="P351" s="14">
        <v>347</v>
      </c>
      <c r="Q351" s="12">
        <v>41986</v>
      </c>
      <c r="R351" s="15">
        <f t="shared" si="187"/>
        <v>4.8875000000000016E-2</v>
      </c>
      <c r="S351" s="4"/>
      <c r="T351" s="14">
        <v>347</v>
      </c>
      <c r="U351" s="12">
        <v>42351</v>
      </c>
      <c r="V351" s="15">
        <f t="shared" si="188"/>
        <v>4.8875000000000016E-2</v>
      </c>
      <c r="AA351" s="14">
        <v>347</v>
      </c>
      <c r="AB351" s="12">
        <v>41255</v>
      </c>
      <c r="AC351" s="15">
        <f t="shared" si="189"/>
        <v>6.9958333333333317E-2</v>
      </c>
      <c r="AI351" s="60">
        <v>347</v>
      </c>
      <c r="AJ351" s="58">
        <v>41986</v>
      </c>
      <c r="AK351" s="61">
        <f t="shared" si="190"/>
        <v>5.1000000000000018E-2</v>
      </c>
      <c r="AL351" s="58">
        <v>42351</v>
      </c>
      <c r="AM351" s="61">
        <f t="shared" si="191"/>
        <v>5.1000000000000018E-2</v>
      </c>
      <c r="AO351" s="58">
        <v>41986</v>
      </c>
      <c r="AP351" s="61">
        <f t="shared" si="192"/>
        <v>5.8999999999999997E-2</v>
      </c>
      <c r="AQ351" s="58">
        <v>42351</v>
      </c>
      <c r="AR351" s="61">
        <f t="shared" si="193"/>
        <v>4.6999999999999993E-2</v>
      </c>
    </row>
    <row r="352" spans="4:44">
      <c r="D352" s="14">
        <v>348</v>
      </c>
      <c r="E352" s="12">
        <v>41622</v>
      </c>
      <c r="F352" s="15">
        <f t="shared" si="184"/>
        <v>6.6125000000000003E-2</v>
      </c>
      <c r="H352" s="14">
        <v>348</v>
      </c>
      <c r="I352" s="12">
        <v>41987</v>
      </c>
      <c r="J352" s="15">
        <f t="shared" si="185"/>
        <v>6.2291666666666662E-2</v>
      </c>
      <c r="K352" s="4"/>
      <c r="L352" s="14">
        <v>348</v>
      </c>
      <c r="M352" s="12">
        <v>42352</v>
      </c>
      <c r="N352" s="15">
        <f t="shared" si="186"/>
        <v>5.270833333333335E-2</v>
      </c>
      <c r="O352" s="31"/>
      <c r="P352" s="14">
        <v>348</v>
      </c>
      <c r="Q352" s="12">
        <v>41987</v>
      </c>
      <c r="R352" s="15">
        <f t="shared" si="187"/>
        <v>4.8875000000000016E-2</v>
      </c>
      <c r="S352" s="4"/>
      <c r="T352" s="14">
        <v>348</v>
      </c>
      <c r="U352" s="12">
        <v>42352</v>
      </c>
      <c r="V352" s="15">
        <f t="shared" si="188"/>
        <v>4.8875000000000016E-2</v>
      </c>
      <c r="AA352" s="14">
        <v>348</v>
      </c>
      <c r="AB352" s="12">
        <v>41256</v>
      </c>
      <c r="AC352" s="15">
        <f t="shared" si="189"/>
        <v>6.9958333333333317E-2</v>
      </c>
      <c r="AI352" s="60">
        <v>348</v>
      </c>
      <c r="AJ352" s="58">
        <v>41987</v>
      </c>
      <c r="AK352" s="61">
        <f t="shared" si="190"/>
        <v>5.1000000000000018E-2</v>
      </c>
      <c r="AL352" s="58">
        <v>42352</v>
      </c>
      <c r="AM352" s="61">
        <f t="shared" si="191"/>
        <v>5.1000000000000018E-2</v>
      </c>
      <c r="AO352" s="58">
        <v>41987</v>
      </c>
      <c r="AP352" s="61">
        <f t="shared" si="192"/>
        <v>5.8999999999999997E-2</v>
      </c>
      <c r="AQ352" s="58">
        <v>42352</v>
      </c>
      <c r="AR352" s="61">
        <f t="shared" si="193"/>
        <v>4.6999999999999993E-2</v>
      </c>
    </row>
    <row r="353" spans="4:44">
      <c r="D353" s="14">
        <v>349</v>
      </c>
      <c r="E353" s="12">
        <v>41623</v>
      </c>
      <c r="F353" s="15">
        <f t="shared" si="184"/>
        <v>6.6125000000000003E-2</v>
      </c>
      <c r="H353" s="14">
        <v>349</v>
      </c>
      <c r="I353" s="12">
        <v>41988</v>
      </c>
      <c r="J353" s="15">
        <f t="shared" si="185"/>
        <v>6.2291666666666662E-2</v>
      </c>
      <c r="K353" s="4"/>
      <c r="L353" s="14">
        <v>349</v>
      </c>
      <c r="M353" s="12">
        <v>42353</v>
      </c>
      <c r="N353" s="15">
        <f t="shared" si="186"/>
        <v>5.270833333333335E-2</v>
      </c>
      <c r="O353" s="31"/>
      <c r="P353" s="14">
        <v>349</v>
      </c>
      <c r="Q353" s="12">
        <v>41988</v>
      </c>
      <c r="R353" s="15">
        <f t="shared" si="187"/>
        <v>4.8875000000000016E-2</v>
      </c>
      <c r="S353" s="4"/>
      <c r="T353" s="14">
        <v>349</v>
      </c>
      <c r="U353" s="12">
        <v>42353</v>
      </c>
      <c r="V353" s="15">
        <f t="shared" si="188"/>
        <v>4.8875000000000016E-2</v>
      </c>
      <c r="AA353" s="14">
        <v>349</v>
      </c>
      <c r="AB353" s="12">
        <v>41257</v>
      </c>
      <c r="AC353" s="15">
        <f t="shared" si="189"/>
        <v>6.9958333333333317E-2</v>
      </c>
      <c r="AI353" s="60">
        <v>349</v>
      </c>
      <c r="AJ353" s="58">
        <v>41988</v>
      </c>
      <c r="AK353" s="61">
        <f t="shared" si="190"/>
        <v>5.1000000000000018E-2</v>
      </c>
      <c r="AL353" s="58">
        <v>42353</v>
      </c>
      <c r="AM353" s="61">
        <f t="shared" si="191"/>
        <v>5.1000000000000018E-2</v>
      </c>
      <c r="AO353" s="58">
        <v>41988</v>
      </c>
      <c r="AP353" s="61">
        <f t="shared" si="192"/>
        <v>5.8999999999999997E-2</v>
      </c>
      <c r="AQ353" s="58">
        <v>42353</v>
      </c>
      <c r="AR353" s="61">
        <f t="shared" si="193"/>
        <v>4.6999999999999993E-2</v>
      </c>
    </row>
    <row r="354" spans="4:44">
      <c r="D354" s="14">
        <v>350</v>
      </c>
      <c r="E354" s="12">
        <v>41624</v>
      </c>
      <c r="F354" s="15">
        <f t="shared" si="184"/>
        <v>6.6125000000000003E-2</v>
      </c>
      <c r="H354" s="14">
        <v>350</v>
      </c>
      <c r="I354" s="12">
        <v>41989</v>
      </c>
      <c r="J354" s="15">
        <f t="shared" si="185"/>
        <v>6.2291666666666662E-2</v>
      </c>
      <c r="K354" s="4"/>
      <c r="L354" s="14">
        <v>350</v>
      </c>
      <c r="M354" s="12">
        <v>42354</v>
      </c>
      <c r="N354" s="15">
        <f t="shared" si="186"/>
        <v>5.270833333333335E-2</v>
      </c>
      <c r="O354" s="31"/>
      <c r="P354" s="14">
        <v>350</v>
      </c>
      <c r="Q354" s="12">
        <v>41989</v>
      </c>
      <c r="R354" s="15">
        <f t="shared" si="187"/>
        <v>4.8875000000000016E-2</v>
      </c>
      <c r="S354" s="4"/>
      <c r="T354" s="14">
        <v>350</v>
      </c>
      <c r="U354" s="12">
        <v>42354</v>
      </c>
      <c r="V354" s="15">
        <f t="shared" si="188"/>
        <v>4.8875000000000016E-2</v>
      </c>
      <c r="AA354" s="14">
        <v>350</v>
      </c>
      <c r="AB354" s="12">
        <v>41258</v>
      </c>
      <c r="AC354" s="15">
        <f t="shared" si="189"/>
        <v>6.9958333333333317E-2</v>
      </c>
      <c r="AI354" s="60">
        <v>350</v>
      </c>
      <c r="AJ354" s="58">
        <v>41989</v>
      </c>
      <c r="AK354" s="61">
        <f t="shared" si="190"/>
        <v>5.1000000000000018E-2</v>
      </c>
      <c r="AL354" s="58">
        <v>42354</v>
      </c>
      <c r="AM354" s="61">
        <f t="shared" si="191"/>
        <v>5.1000000000000018E-2</v>
      </c>
      <c r="AO354" s="58">
        <v>41989</v>
      </c>
      <c r="AP354" s="61">
        <f t="shared" si="192"/>
        <v>5.8999999999999997E-2</v>
      </c>
      <c r="AQ354" s="58">
        <v>42354</v>
      </c>
      <c r="AR354" s="61">
        <f t="shared" si="193"/>
        <v>4.6999999999999993E-2</v>
      </c>
    </row>
    <row r="355" spans="4:44">
      <c r="D355" s="14">
        <v>351</v>
      </c>
      <c r="E355" s="12">
        <v>41625</v>
      </c>
      <c r="F355" s="15">
        <f t="shared" si="184"/>
        <v>6.6125000000000003E-2</v>
      </c>
      <c r="H355" s="14">
        <v>351</v>
      </c>
      <c r="I355" s="12">
        <v>41990</v>
      </c>
      <c r="J355" s="15">
        <f t="shared" si="185"/>
        <v>6.2291666666666662E-2</v>
      </c>
      <c r="K355" s="4"/>
      <c r="L355" s="14">
        <v>351</v>
      </c>
      <c r="M355" s="12">
        <v>42355</v>
      </c>
      <c r="N355" s="15">
        <f t="shared" si="186"/>
        <v>5.270833333333335E-2</v>
      </c>
      <c r="O355" s="31"/>
      <c r="P355" s="14">
        <v>351</v>
      </c>
      <c r="Q355" s="12">
        <v>41990</v>
      </c>
      <c r="R355" s="15">
        <f t="shared" si="187"/>
        <v>4.8875000000000016E-2</v>
      </c>
      <c r="S355" s="4"/>
      <c r="T355" s="14">
        <v>351</v>
      </c>
      <c r="U355" s="12">
        <v>42355</v>
      </c>
      <c r="V355" s="15">
        <f t="shared" si="188"/>
        <v>4.8875000000000016E-2</v>
      </c>
      <c r="AA355" s="14">
        <v>351</v>
      </c>
      <c r="AB355" s="12">
        <v>41259</v>
      </c>
      <c r="AC355" s="15">
        <f t="shared" si="189"/>
        <v>6.9958333333333317E-2</v>
      </c>
      <c r="AI355" s="60">
        <v>351</v>
      </c>
      <c r="AJ355" s="58">
        <v>41990</v>
      </c>
      <c r="AK355" s="61">
        <f t="shared" si="190"/>
        <v>5.1000000000000018E-2</v>
      </c>
      <c r="AL355" s="58">
        <v>42355</v>
      </c>
      <c r="AM355" s="61">
        <f t="shared" si="191"/>
        <v>5.1000000000000018E-2</v>
      </c>
      <c r="AO355" s="58">
        <v>41990</v>
      </c>
      <c r="AP355" s="61">
        <f t="shared" si="192"/>
        <v>5.8999999999999997E-2</v>
      </c>
      <c r="AQ355" s="58">
        <v>42355</v>
      </c>
      <c r="AR355" s="61">
        <f t="shared" si="193"/>
        <v>4.6999999999999993E-2</v>
      </c>
    </row>
    <row r="356" spans="4:44">
      <c r="D356" s="14">
        <v>352</v>
      </c>
      <c r="E356" s="12">
        <v>41626</v>
      </c>
      <c r="F356" s="15">
        <f t="shared" si="184"/>
        <v>6.6125000000000003E-2</v>
      </c>
      <c r="H356" s="14">
        <v>352</v>
      </c>
      <c r="I356" s="12">
        <v>41991</v>
      </c>
      <c r="J356" s="15">
        <f t="shared" si="185"/>
        <v>6.2291666666666662E-2</v>
      </c>
      <c r="K356" s="4"/>
      <c r="L356" s="14">
        <v>352</v>
      </c>
      <c r="M356" s="12">
        <v>42356</v>
      </c>
      <c r="N356" s="15">
        <f t="shared" si="186"/>
        <v>5.270833333333335E-2</v>
      </c>
      <c r="O356" s="31"/>
      <c r="P356" s="14">
        <v>352</v>
      </c>
      <c r="Q356" s="12">
        <v>41991</v>
      </c>
      <c r="R356" s="15">
        <f t="shared" si="187"/>
        <v>4.8875000000000016E-2</v>
      </c>
      <c r="S356" s="4"/>
      <c r="T356" s="14">
        <v>352</v>
      </c>
      <c r="U356" s="12">
        <v>42356</v>
      </c>
      <c r="V356" s="15">
        <f t="shared" si="188"/>
        <v>4.8875000000000016E-2</v>
      </c>
      <c r="AA356" s="14">
        <v>352</v>
      </c>
      <c r="AB356" s="12">
        <v>41260</v>
      </c>
      <c r="AC356" s="15">
        <f t="shared" si="189"/>
        <v>6.9958333333333317E-2</v>
      </c>
      <c r="AI356" s="60">
        <v>352</v>
      </c>
      <c r="AJ356" s="58">
        <v>41991</v>
      </c>
      <c r="AK356" s="61">
        <f t="shared" si="190"/>
        <v>5.1000000000000018E-2</v>
      </c>
      <c r="AL356" s="58">
        <v>42356</v>
      </c>
      <c r="AM356" s="61">
        <f t="shared" si="191"/>
        <v>5.1000000000000018E-2</v>
      </c>
      <c r="AO356" s="58">
        <v>41991</v>
      </c>
      <c r="AP356" s="61">
        <f t="shared" si="192"/>
        <v>5.8999999999999997E-2</v>
      </c>
      <c r="AQ356" s="58">
        <v>42356</v>
      </c>
      <c r="AR356" s="61">
        <f t="shared" si="193"/>
        <v>4.6999999999999993E-2</v>
      </c>
    </row>
    <row r="357" spans="4:44">
      <c r="D357" s="14">
        <v>353</v>
      </c>
      <c r="E357" s="12">
        <v>41627</v>
      </c>
      <c r="F357" s="15">
        <f t="shared" si="184"/>
        <v>6.6125000000000003E-2</v>
      </c>
      <c r="H357" s="14">
        <v>353</v>
      </c>
      <c r="I357" s="12">
        <v>41992</v>
      </c>
      <c r="J357" s="15">
        <f t="shared" si="185"/>
        <v>6.2291666666666662E-2</v>
      </c>
      <c r="K357" s="4"/>
      <c r="L357" s="14">
        <v>353</v>
      </c>
      <c r="M357" s="12">
        <v>42357</v>
      </c>
      <c r="N357" s="15">
        <f t="shared" si="186"/>
        <v>5.270833333333335E-2</v>
      </c>
      <c r="O357" s="31"/>
      <c r="P357" s="14">
        <v>353</v>
      </c>
      <c r="Q357" s="12">
        <v>41992</v>
      </c>
      <c r="R357" s="15">
        <f t="shared" si="187"/>
        <v>4.8875000000000016E-2</v>
      </c>
      <c r="S357" s="4"/>
      <c r="T357" s="14">
        <v>353</v>
      </c>
      <c r="U357" s="12">
        <v>42357</v>
      </c>
      <c r="V357" s="15">
        <f t="shared" si="188"/>
        <v>4.8875000000000016E-2</v>
      </c>
      <c r="AA357" s="14">
        <v>353</v>
      </c>
      <c r="AB357" s="12">
        <v>41261</v>
      </c>
      <c r="AC357" s="15">
        <f t="shared" si="189"/>
        <v>6.9958333333333317E-2</v>
      </c>
      <c r="AI357" s="60">
        <v>353</v>
      </c>
      <c r="AJ357" s="58">
        <v>41992</v>
      </c>
      <c r="AK357" s="61">
        <f t="shared" si="190"/>
        <v>5.1000000000000018E-2</v>
      </c>
      <c r="AL357" s="58">
        <v>42357</v>
      </c>
      <c r="AM357" s="61">
        <f t="shared" si="191"/>
        <v>5.1000000000000018E-2</v>
      </c>
      <c r="AO357" s="58">
        <v>41992</v>
      </c>
      <c r="AP357" s="61">
        <f t="shared" si="192"/>
        <v>5.8999999999999997E-2</v>
      </c>
      <c r="AQ357" s="58">
        <v>42357</v>
      </c>
      <c r="AR357" s="61">
        <f t="shared" si="193"/>
        <v>4.6999999999999993E-2</v>
      </c>
    </row>
    <row r="358" spans="4:44">
      <c r="D358" s="14">
        <v>354</v>
      </c>
      <c r="E358" s="12">
        <v>41628</v>
      </c>
      <c r="F358" s="15">
        <f t="shared" si="184"/>
        <v>6.6125000000000003E-2</v>
      </c>
      <c r="H358" s="14">
        <v>354</v>
      </c>
      <c r="I358" s="12">
        <v>41993</v>
      </c>
      <c r="J358" s="15">
        <f t="shared" si="185"/>
        <v>6.2291666666666662E-2</v>
      </c>
      <c r="K358" s="4"/>
      <c r="L358" s="14">
        <v>354</v>
      </c>
      <c r="M358" s="12">
        <v>42358</v>
      </c>
      <c r="N358" s="15">
        <f t="shared" si="186"/>
        <v>5.270833333333335E-2</v>
      </c>
      <c r="O358" s="31"/>
      <c r="P358" s="14">
        <v>354</v>
      </c>
      <c r="Q358" s="12">
        <v>41993</v>
      </c>
      <c r="R358" s="15">
        <f t="shared" si="187"/>
        <v>4.8875000000000016E-2</v>
      </c>
      <c r="S358" s="4"/>
      <c r="T358" s="14">
        <v>354</v>
      </c>
      <c r="U358" s="12">
        <v>42358</v>
      </c>
      <c r="V358" s="15">
        <f t="shared" si="188"/>
        <v>4.8875000000000016E-2</v>
      </c>
      <c r="AA358" s="14">
        <v>354</v>
      </c>
      <c r="AB358" s="12">
        <v>41262</v>
      </c>
      <c r="AC358" s="15">
        <f t="shared" si="189"/>
        <v>6.9958333333333317E-2</v>
      </c>
      <c r="AI358" s="60">
        <v>354</v>
      </c>
      <c r="AJ358" s="58">
        <v>41993</v>
      </c>
      <c r="AK358" s="61">
        <f t="shared" si="190"/>
        <v>5.1000000000000018E-2</v>
      </c>
      <c r="AL358" s="58">
        <v>42358</v>
      </c>
      <c r="AM358" s="61">
        <f t="shared" si="191"/>
        <v>5.1000000000000018E-2</v>
      </c>
      <c r="AO358" s="58">
        <v>41993</v>
      </c>
      <c r="AP358" s="61">
        <f t="shared" si="192"/>
        <v>5.8999999999999997E-2</v>
      </c>
      <c r="AQ358" s="58">
        <v>42358</v>
      </c>
      <c r="AR358" s="61">
        <f t="shared" si="193"/>
        <v>4.6999999999999993E-2</v>
      </c>
    </row>
    <row r="359" spans="4:44">
      <c r="D359" s="14">
        <v>355</v>
      </c>
      <c r="E359" s="12">
        <v>41629</v>
      </c>
      <c r="F359" s="29">
        <f t="shared" ref="F359:F369" si="194">F$329+F$4/D$4/100</f>
        <v>6.9000000000000006E-2</v>
      </c>
      <c r="H359" s="14">
        <v>355</v>
      </c>
      <c r="I359" s="12">
        <v>41994</v>
      </c>
      <c r="J359" s="29">
        <f t="shared" ref="J359:J369" si="195">J$329+J$4/H$4/100</f>
        <v>6.4999999999999988E-2</v>
      </c>
      <c r="K359" s="4"/>
      <c r="L359" s="14">
        <v>355</v>
      </c>
      <c r="M359" s="12">
        <v>42359</v>
      </c>
      <c r="N359" s="29">
        <f t="shared" ref="N359:N369" si="196">N$329+N$4/L$4/100</f>
        <v>5.5000000000000014E-2</v>
      </c>
      <c r="O359" s="31"/>
      <c r="P359" s="14">
        <v>355</v>
      </c>
      <c r="Q359" s="12">
        <v>41994</v>
      </c>
      <c r="R359" s="29">
        <f t="shared" ref="R359:R369" si="197">R$329+R$4/P$4/100</f>
        <v>5.1000000000000018E-2</v>
      </c>
      <c r="S359" s="4"/>
      <c r="T359" s="14">
        <v>355</v>
      </c>
      <c r="U359" s="12">
        <v>42359</v>
      </c>
      <c r="V359" s="29">
        <f t="shared" ref="V359:V369" si="198">V$329+V$4/T$4/100</f>
        <v>5.1000000000000018E-2</v>
      </c>
      <c r="AA359" s="30">
        <v>355</v>
      </c>
      <c r="AB359" s="12">
        <v>41263</v>
      </c>
      <c r="AC359" s="15">
        <f t="shared" si="189"/>
        <v>6.9958333333333317E-2</v>
      </c>
      <c r="AI359" s="60">
        <v>355</v>
      </c>
      <c r="AJ359" s="58">
        <v>41994</v>
      </c>
      <c r="AK359" s="61">
        <f t="shared" si="190"/>
        <v>5.1000000000000018E-2</v>
      </c>
      <c r="AL359" s="58">
        <v>42359</v>
      </c>
      <c r="AM359" s="61">
        <f t="shared" si="191"/>
        <v>5.1000000000000018E-2</v>
      </c>
      <c r="AO359" s="58">
        <v>41994</v>
      </c>
      <c r="AP359" s="61">
        <f t="shared" si="192"/>
        <v>5.8999999999999997E-2</v>
      </c>
      <c r="AQ359" s="58">
        <v>42359</v>
      </c>
      <c r="AR359" s="61">
        <f t="shared" si="193"/>
        <v>4.6999999999999993E-2</v>
      </c>
    </row>
    <row r="360" spans="4:44">
      <c r="D360" s="14">
        <v>356</v>
      </c>
      <c r="E360" s="12">
        <v>41630</v>
      </c>
      <c r="F360" s="15">
        <f t="shared" si="194"/>
        <v>6.9000000000000006E-2</v>
      </c>
      <c r="H360" s="14">
        <v>356</v>
      </c>
      <c r="I360" s="12">
        <v>41995</v>
      </c>
      <c r="J360" s="15">
        <f t="shared" si="195"/>
        <v>6.4999999999999988E-2</v>
      </c>
      <c r="K360" s="4"/>
      <c r="L360" s="14">
        <v>356</v>
      </c>
      <c r="M360" s="12">
        <v>42360</v>
      </c>
      <c r="N360" s="15">
        <f t="shared" si="196"/>
        <v>5.5000000000000014E-2</v>
      </c>
      <c r="O360" s="31"/>
      <c r="P360" s="14">
        <v>356</v>
      </c>
      <c r="Q360" s="12">
        <v>41995</v>
      </c>
      <c r="R360" s="15">
        <f t="shared" si="197"/>
        <v>5.1000000000000018E-2</v>
      </c>
      <c r="S360" s="4"/>
      <c r="T360" s="14">
        <v>356</v>
      </c>
      <c r="U360" s="12">
        <v>42360</v>
      </c>
      <c r="V360" s="15">
        <f t="shared" si="198"/>
        <v>5.1000000000000018E-2</v>
      </c>
      <c r="AA360" s="30">
        <v>356</v>
      </c>
      <c r="AB360" s="28">
        <v>41264</v>
      </c>
      <c r="AC360" s="29">
        <f t="shared" ref="AC360:AC370" si="199">AC$330+AC$4/AA$4/100</f>
        <v>7.2999999999999982E-2</v>
      </c>
      <c r="AI360" s="60">
        <v>356</v>
      </c>
      <c r="AJ360" s="58">
        <v>41995</v>
      </c>
      <c r="AK360" s="61">
        <f t="shared" si="190"/>
        <v>5.1000000000000018E-2</v>
      </c>
      <c r="AL360" s="58">
        <v>42360</v>
      </c>
      <c r="AM360" s="61">
        <f t="shared" si="191"/>
        <v>5.1000000000000018E-2</v>
      </c>
      <c r="AO360" s="58">
        <v>41995</v>
      </c>
      <c r="AP360" s="61">
        <f t="shared" si="192"/>
        <v>5.8999999999999997E-2</v>
      </c>
      <c r="AQ360" s="58">
        <v>42360</v>
      </c>
      <c r="AR360" s="61">
        <f t="shared" si="193"/>
        <v>4.6999999999999993E-2</v>
      </c>
    </row>
    <row r="361" spans="4:44">
      <c r="D361" s="14">
        <v>357</v>
      </c>
      <c r="E361" s="12">
        <v>41631</v>
      </c>
      <c r="F361" s="15">
        <f t="shared" si="194"/>
        <v>6.9000000000000006E-2</v>
      </c>
      <c r="H361" s="14">
        <v>357</v>
      </c>
      <c r="I361" s="12">
        <v>41996</v>
      </c>
      <c r="J361" s="15">
        <f t="shared" si="195"/>
        <v>6.4999999999999988E-2</v>
      </c>
      <c r="K361" s="4"/>
      <c r="L361" s="14">
        <v>357</v>
      </c>
      <c r="M361" s="12">
        <v>42361</v>
      </c>
      <c r="N361" s="15">
        <f t="shared" si="196"/>
        <v>5.5000000000000014E-2</v>
      </c>
      <c r="O361" s="31"/>
      <c r="P361" s="14">
        <v>357</v>
      </c>
      <c r="Q361" s="12">
        <v>41996</v>
      </c>
      <c r="R361" s="15">
        <f t="shared" si="197"/>
        <v>5.1000000000000018E-2</v>
      </c>
      <c r="S361" s="4"/>
      <c r="T361" s="14">
        <v>357</v>
      </c>
      <c r="U361" s="12">
        <v>42361</v>
      </c>
      <c r="V361" s="15">
        <f t="shared" si="198"/>
        <v>5.1000000000000018E-2</v>
      </c>
      <c r="AA361" s="14">
        <v>357</v>
      </c>
      <c r="AB361" s="12">
        <v>41265</v>
      </c>
      <c r="AC361" s="15">
        <f t="shared" si="199"/>
        <v>7.2999999999999982E-2</v>
      </c>
      <c r="AI361" s="60">
        <v>357</v>
      </c>
      <c r="AJ361" s="58">
        <v>41996</v>
      </c>
      <c r="AK361" s="61">
        <f t="shared" si="190"/>
        <v>5.1000000000000018E-2</v>
      </c>
      <c r="AL361" s="58">
        <v>42361</v>
      </c>
      <c r="AM361" s="61">
        <f t="shared" si="191"/>
        <v>5.1000000000000018E-2</v>
      </c>
      <c r="AO361" s="58">
        <v>41996</v>
      </c>
      <c r="AP361" s="61">
        <f t="shared" si="192"/>
        <v>5.8999999999999997E-2</v>
      </c>
      <c r="AQ361" s="58">
        <v>42361</v>
      </c>
      <c r="AR361" s="61">
        <f t="shared" si="193"/>
        <v>4.6999999999999993E-2</v>
      </c>
    </row>
    <row r="362" spans="4:44">
      <c r="D362" s="14">
        <v>358</v>
      </c>
      <c r="E362" s="12">
        <v>41632</v>
      </c>
      <c r="F362" s="15">
        <f t="shared" si="194"/>
        <v>6.9000000000000006E-2</v>
      </c>
      <c r="H362" s="14">
        <v>358</v>
      </c>
      <c r="I362" s="12">
        <v>41997</v>
      </c>
      <c r="J362" s="15">
        <f t="shared" si="195"/>
        <v>6.4999999999999988E-2</v>
      </c>
      <c r="K362" s="4"/>
      <c r="L362" s="14">
        <v>358</v>
      </c>
      <c r="M362" s="12">
        <v>42362</v>
      </c>
      <c r="N362" s="15">
        <f t="shared" si="196"/>
        <v>5.5000000000000014E-2</v>
      </c>
      <c r="O362" s="31"/>
      <c r="P362" s="14">
        <v>358</v>
      </c>
      <c r="Q362" s="12">
        <v>41997</v>
      </c>
      <c r="R362" s="15">
        <f t="shared" si="197"/>
        <v>5.1000000000000018E-2</v>
      </c>
      <c r="S362" s="4"/>
      <c r="T362" s="14">
        <v>358</v>
      </c>
      <c r="U362" s="12">
        <v>42362</v>
      </c>
      <c r="V362" s="15">
        <f t="shared" si="198"/>
        <v>5.1000000000000018E-2</v>
      </c>
      <c r="AA362" s="14">
        <v>358</v>
      </c>
      <c r="AB362" s="12">
        <v>41266</v>
      </c>
      <c r="AC362" s="15">
        <f t="shared" si="199"/>
        <v>7.2999999999999982E-2</v>
      </c>
      <c r="AI362" s="60">
        <v>358</v>
      </c>
      <c r="AJ362" s="58">
        <v>41997</v>
      </c>
      <c r="AK362" s="61">
        <f t="shared" si="190"/>
        <v>5.1000000000000018E-2</v>
      </c>
      <c r="AL362" s="58">
        <v>42362</v>
      </c>
      <c r="AM362" s="61">
        <f t="shared" si="191"/>
        <v>5.1000000000000018E-2</v>
      </c>
      <c r="AO362" s="58">
        <v>41997</v>
      </c>
      <c r="AP362" s="61">
        <f t="shared" si="192"/>
        <v>5.8999999999999997E-2</v>
      </c>
      <c r="AQ362" s="58">
        <v>42362</v>
      </c>
      <c r="AR362" s="61">
        <f t="shared" si="193"/>
        <v>4.6999999999999993E-2</v>
      </c>
    </row>
    <row r="363" spans="4:44">
      <c r="D363" s="14">
        <v>359</v>
      </c>
      <c r="E363" s="12">
        <v>41633</v>
      </c>
      <c r="F363" s="15">
        <f t="shared" si="194"/>
        <v>6.9000000000000006E-2</v>
      </c>
      <c r="H363" s="14">
        <v>359</v>
      </c>
      <c r="I363" s="12">
        <v>41998</v>
      </c>
      <c r="J363" s="15">
        <f t="shared" si="195"/>
        <v>6.4999999999999988E-2</v>
      </c>
      <c r="K363" s="4"/>
      <c r="L363" s="14">
        <v>359</v>
      </c>
      <c r="M363" s="12">
        <v>42363</v>
      </c>
      <c r="N363" s="15">
        <f t="shared" si="196"/>
        <v>5.5000000000000014E-2</v>
      </c>
      <c r="O363" s="31"/>
      <c r="P363" s="14">
        <v>359</v>
      </c>
      <c r="Q363" s="12">
        <v>41998</v>
      </c>
      <c r="R363" s="15">
        <f t="shared" si="197"/>
        <v>5.1000000000000018E-2</v>
      </c>
      <c r="S363" s="4"/>
      <c r="T363" s="14">
        <v>359</v>
      </c>
      <c r="U363" s="12">
        <v>42363</v>
      </c>
      <c r="V363" s="15">
        <f t="shared" si="198"/>
        <v>5.1000000000000018E-2</v>
      </c>
      <c r="AA363" s="14">
        <v>359</v>
      </c>
      <c r="AB363" s="12">
        <v>41267</v>
      </c>
      <c r="AC363" s="15">
        <f t="shared" si="199"/>
        <v>7.2999999999999982E-2</v>
      </c>
      <c r="AI363" s="60">
        <v>359</v>
      </c>
      <c r="AJ363" s="58">
        <v>41998</v>
      </c>
      <c r="AK363" s="61">
        <f t="shared" si="190"/>
        <v>5.1000000000000018E-2</v>
      </c>
      <c r="AL363" s="58">
        <v>42363</v>
      </c>
      <c r="AM363" s="61">
        <f t="shared" si="191"/>
        <v>5.1000000000000018E-2</v>
      </c>
      <c r="AO363" s="58">
        <v>41998</v>
      </c>
      <c r="AP363" s="61">
        <f t="shared" si="192"/>
        <v>5.8999999999999997E-2</v>
      </c>
      <c r="AQ363" s="58">
        <v>42363</v>
      </c>
      <c r="AR363" s="61">
        <f t="shared" si="193"/>
        <v>4.6999999999999993E-2</v>
      </c>
    </row>
    <row r="364" spans="4:44">
      <c r="D364" s="14">
        <v>360</v>
      </c>
      <c r="E364" s="12">
        <v>41634</v>
      </c>
      <c r="F364" s="15">
        <f t="shared" si="194"/>
        <v>6.9000000000000006E-2</v>
      </c>
      <c r="H364" s="14">
        <v>360</v>
      </c>
      <c r="I364" s="12">
        <v>41999</v>
      </c>
      <c r="J364" s="15">
        <f t="shared" si="195"/>
        <v>6.4999999999999988E-2</v>
      </c>
      <c r="K364" s="4"/>
      <c r="L364" s="14">
        <v>360</v>
      </c>
      <c r="M364" s="12">
        <v>42364</v>
      </c>
      <c r="N364" s="15">
        <f t="shared" si="196"/>
        <v>5.5000000000000014E-2</v>
      </c>
      <c r="O364" s="31"/>
      <c r="P364" s="14">
        <v>360</v>
      </c>
      <c r="Q364" s="12">
        <v>41999</v>
      </c>
      <c r="R364" s="15">
        <f t="shared" si="197"/>
        <v>5.1000000000000018E-2</v>
      </c>
      <c r="S364" s="4"/>
      <c r="T364" s="14">
        <v>360</v>
      </c>
      <c r="U364" s="12">
        <v>42364</v>
      </c>
      <c r="V364" s="15">
        <f t="shared" si="198"/>
        <v>5.1000000000000018E-2</v>
      </c>
      <c r="AA364" s="14">
        <v>360</v>
      </c>
      <c r="AB364" s="12">
        <v>41268</v>
      </c>
      <c r="AC364" s="15">
        <f t="shared" si="199"/>
        <v>7.2999999999999982E-2</v>
      </c>
      <c r="AI364" s="60">
        <v>360</v>
      </c>
      <c r="AJ364" s="58">
        <v>41999</v>
      </c>
      <c r="AK364" s="61">
        <f t="shared" si="190"/>
        <v>5.1000000000000018E-2</v>
      </c>
      <c r="AL364" s="58">
        <v>42364</v>
      </c>
      <c r="AM364" s="61">
        <f t="shared" si="191"/>
        <v>5.1000000000000018E-2</v>
      </c>
      <c r="AO364" s="58">
        <v>41999</v>
      </c>
      <c r="AP364" s="61">
        <f t="shared" si="192"/>
        <v>5.8999999999999997E-2</v>
      </c>
      <c r="AQ364" s="58">
        <v>42364</v>
      </c>
      <c r="AR364" s="61">
        <f t="shared" si="193"/>
        <v>4.6999999999999993E-2</v>
      </c>
    </row>
    <row r="365" spans="4:44">
      <c r="D365" s="14">
        <v>361</v>
      </c>
      <c r="E365" s="12">
        <v>41635</v>
      </c>
      <c r="F365" s="15">
        <f t="shared" si="194"/>
        <v>6.9000000000000006E-2</v>
      </c>
      <c r="H365" s="14">
        <v>361</v>
      </c>
      <c r="I365" s="12">
        <v>42000</v>
      </c>
      <c r="J365" s="15">
        <f t="shared" si="195"/>
        <v>6.4999999999999988E-2</v>
      </c>
      <c r="K365" s="4"/>
      <c r="L365" s="14">
        <v>361</v>
      </c>
      <c r="M365" s="12">
        <v>42365</v>
      </c>
      <c r="N365" s="15">
        <f t="shared" si="196"/>
        <v>5.5000000000000014E-2</v>
      </c>
      <c r="O365" s="31"/>
      <c r="P365" s="14">
        <v>361</v>
      </c>
      <c r="Q365" s="12">
        <v>42000</v>
      </c>
      <c r="R365" s="15">
        <f t="shared" si="197"/>
        <v>5.1000000000000018E-2</v>
      </c>
      <c r="S365" s="4"/>
      <c r="T365" s="14">
        <v>361</v>
      </c>
      <c r="U365" s="12">
        <v>42365</v>
      </c>
      <c r="V365" s="15">
        <f t="shared" si="198"/>
        <v>5.1000000000000018E-2</v>
      </c>
      <c r="AA365" s="14">
        <v>361</v>
      </c>
      <c r="AB365" s="12">
        <v>41269</v>
      </c>
      <c r="AC365" s="15">
        <f t="shared" si="199"/>
        <v>7.2999999999999982E-2</v>
      </c>
      <c r="AI365" s="60">
        <v>361</v>
      </c>
      <c r="AJ365" s="58">
        <v>42000</v>
      </c>
      <c r="AK365" s="61">
        <f t="shared" si="190"/>
        <v>5.1000000000000018E-2</v>
      </c>
      <c r="AL365" s="58">
        <v>42365</v>
      </c>
      <c r="AM365" s="61">
        <f t="shared" si="191"/>
        <v>5.1000000000000018E-2</v>
      </c>
      <c r="AO365" s="58">
        <v>42000</v>
      </c>
      <c r="AP365" s="61">
        <f t="shared" si="192"/>
        <v>5.8999999999999997E-2</v>
      </c>
      <c r="AQ365" s="58">
        <v>42365</v>
      </c>
      <c r="AR365" s="61">
        <f t="shared" si="193"/>
        <v>4.6999999999999993E-2</v>
      </c>
    </row>
    <row r="366" spans="4:44">
      <c r="D366" s="14">
        <v>362</v>
      </c>
      <c r="E366" s="12">
        <v>41636</v>
      </c>
      <c r="F366" s="15">
        <f t="shared" si="194"/>
        <v>6.9000000000000006E-2</v>
      </c>
      <c r="H366" s="14">
        <v>362</v>
      </c>
      <c r="I366" s="12">
        <v>42001</v>
      </c>
      <c r="J366" s="15">
        <f t="shared" si="195"/>
        <v>6.4999999999999988E-2</v>
      </c>
      <c r="K366" s="4"/>
      <c r="L366" s="14">
        <v>362</v>
      </c>
      <c r="M366" s="12">
        <v>42366</v>
      </c>
      <c r="N366" s="15">
        <f t="shared" si="196"/>
        <v>5.5000000000000014E-2</v>
      </c>
      <c r="O366" s="31"/>
      <c r="P366" s="14">
        <v>362</v>
      </c>
      <c r="Q366" s="12">
        <v>42001</v>
      </c>
      <c r="R366" s="15">
        <f t="shared" si="197"/>
        <v>5.1000000000000018E-2</v>
      </c>
      <c r="S366" s="4"/>
      <c r="T366" s="14">
        <v>362</v>
      </c>
      <c r="U366" s="12">
        <v>42366</v>
      </c>
      <c r="V366" s="15">
        <f t="shared" si="198"/>
        <v>5.1000000000000018E-2</v>
      </c>
      <c r="AA366" s="14">
        <v>362</v>
      </c>
      <c r="AB366" s="12">
        <v>41270</v>
      </c>
      <c r="AC366" s="15">
        <f t="shared" si="199"/>
        <v>7.2999999999999982E-2</v>
      </c>
      <c r="AI366" s="60">
        <v>362</v>
      </c>
      <c r="AJ366" s="58">
        <v>42001</v>
      </c>
      <c r="AK366" s="61">
        <f t="shared" si="190"/>
        <v>5.1000000000000018E-2</v>
      </c>
      <c r="AL366" s="58">
        <v>42366</v>
      </c>
      <c r="AM366" s="61">
        <f t="shared" si="191"/>
        <v>5.1000000000000018E-2</v>
      </c>
      <c r="AO366" s="58">
        <v>42001</v>
      </c>
      <c r="AP366" s="61">
        <f t="shared" si="192"/>
        <v>5.8999999999999997E-2</v>
      </c>
      <c r="AQ366" s="58">
        <v>42366</v>
      </c>
      <c r="AR366" s="61">
        <f t="shared" si="193"/>
        <v>4.6999999999999993E-2</v>
      </c>
    </row>
    <row r="367" spans="4:44">
      <c r="D367" s="14">
        <v>363</v>
      </c>
      <c r="E367" s="12">
        <v>41637</v>
      </c>
      <c r="F367" s="15">
        <f t="shared" si="194"/>
        <v>6.9000000000000006E-2</v>
      </c>
      <c r="H367" s="14">
        <v>363</v>
      </c>
      <c r="I367" s="12">
        <v>42002</v>
      </c>
      <c r="J367" s="15">
        <f t="shared" si="195"/>
        <v>6.4999999999999988E-2</v>
      </c>
      <c r="K367" s="4"/>
      <c r="L367" s="14">
        <v>363</v>
      </c>
      <c r="M367" s="12">
        <v>42367</v>
      </c>
      <c r="N367" s="15">
        <f t="shared" si="196"/>
        <v>5.5000000000000014E-2</v>
      </c>
      <c r="O367" s="31"/>
      <c r="P367" s="14">
        <v>363</v>
      </c>
      <c r="Q367" s="12">
        <v>42002</v>
      </c>
      <c r="R367" s="15">
        <f t="shared" si="197"/>
        <v>5.1000000000000018E-2</v>
      </c>
      <c r="S367" s="4"/>
      <c r="T367" s="14">
        <v>363</v>
      </c>
      <c r="U367" s="12">
        <v>42367</v>
      </c>
      <c r="V367" s="15">
        <f t="shared" si="198"/>
        <v>5.1000000000000018E-2</v>
      </c>
      <c r="AA367" s="14">
        <v>363</v>
      </c>
      <c r="AB367" s="12">
        <v>41271</v>
      </c>
      <c r="AC367" s="15">
        <f t="shared" si="199"/>
        <v>7.2999999999999982E-2</v>
      </c>
      <c r="AI367" s="60">
        <v>363</v>
      </c>
      <c r="AJ367" s="58">
        <v>42002</v>
      </c>
      <c r="AK367" s="61">
        <f t="shared" si="190"/>
        <v>5.1000000000000018E-2</v>
      </c>
      <c r="AL367" s="58">
        <v>42367</v>
      </c>
      <c r="AM367" s="61">
        <f t="shared" si="191"/>
        <v>5.1000000000000018E-2</v>
      </c>
      <c r="AO367" s="58">
        <v>42002</v>
      </c>
      <c r="AP367" s="61">
        <f t="shared" si="192"/>
        <v>5.8999999999999997E-2</v>
      </c>
      <c r="AQ367" s="58">
        <v>42367</v>
      </c>
      <c r="AR367" s="61">
        <f t="shared" si="193"/>
        <v>4.6999999999999993E-2</v>
      </c>
    </row>
    <row r="368" spans="4:44">
      <c r="D368" s="14">
        <v>364</v>
      </c>
      <c r="E368" s="12">
        <v>41638</v>
      </c>
      <c r="F368" s="15">
        <f t="shared" si="194"/>
        <v>6.9000000000000006E-2</v>
      </c>
      <c r="H368" s="14">
        <v>364</v>
      </c>
      <c r="I368" s="12">
        <v>42003</v>
      </c>
      <c r="J368" s="15">
        <f t="shared" si="195"/>
        <v>6.4999999999999988E-2</v>
      </c>
      <c r="K368" s="4"/>
      <c r="L368" s="14">
        <v>364</v>
      </c>
      <c r="M368" s="12">
        <v>42368</v>
      </c>
      <c r="N368" s="15">
        <f t="shared" si="196"/>
        <v>5.5000000000000014E-2</v>
      </c>
      <c r="O368" s="31"/>
      <c r="P368" s="14">
        <v>364</v>
      </c>
      <c r="Q368" s="12">
        <v>42003</v>
      </c>
      <c r="R368" s="15">
        <f t="shared" si="197"/>
        <v>5.1000000000000018E-2</v>
      </c>
      <c r="S368" s="4"/>
      <c r="T368" s="14">
        <v>364</v>
      </c>
      <c r="U368" s="12">
        <v>42368</v>
      </c>
      <c r="V368" s="15">
        <f t="shared" si="198"/>
        <v>5.1000000000000018E-2</v>
      </c>
      <c r="AA368" s="14">
        <v>364</v>
      </c>
      <c r="AB368" s="12">
        <v>41272</v>
      </c>
      <c r="AC368" s="15">
        <f t="shared" si="199"/>
        <v>7.2999999999999982E-2</v>
      </c>
      <c r="AI368" s="60">
        <v>364</v>
      </c>
      <c r="AJ368" s="58">
        <v>42003</v>
      </c>
      <c r="AK368" s="61">
        <f t="shared" si="190"/>
        <v>5.1000000000000018E-2</v>
      </c>
      <c r="AL368" s="58">
        <v>42368</v>
      </c>
      <c r="AM368" s="61">
        <f t="shared" si="191"/>
        <v>5.1000000000000018E-2</v>
      </c>
      <c r="AO368" s="58">
        <v>42003</v>
      </c>
      <c r="AP368" s="61">
        <f t="shared" si="192"/>
        <v>5.8999999999999997E-2</v>
      </c>
      <c r="AQ368" s="58">
        <v>42368</v>
      </c>
      <c r="AR368" s="61">
        <f t="shared" si="193"/>
        <v>4.6999999999999993E-2</v>
      </c>
    </row>
    <row r="369" spans="4:44">
      <c r="D369" s="14">
        <v>365</v>
      </c>
      <c r="E369" s="12">
        <v>41639</v>
      </c>
      <c r="F369" s="15">
        <f t="shared" si="194"/>
        <v>6.9000000000000006E-2</v>
      </c>
      <c r="H369" s="14">
        <v>365</v>
      </c>
      <c r="I369" s="12">
        <v>42004</v>
      </c>
      <c r="J369" s="15">
        <f t="shared" si="195"/>
        <v>6.4999999999999988E-2</v>
      </c>
      <c r="K369" s="4"/>
      <c r="L369" s="14">
        <v>365</v>
      </c>
      <c r="M369" s="12">
        <v>42369</v>
      </c>
      <c r="N369" s="15">
        <f t="shared" si="196"/>
        <v>5.5000000000000014E-2</v>
      </c>
      <c r="O369" s="31"/>
      <c r="P369" s="14">
        <v>365</v>
      </c>
      <c r="Q369" s="12">
        <v>42004</v>
      </c>
      <c r="R369" s="15">
        <f t="shared" si="197"/>
        <v>5.1000000000000018E-2</v>
      </c>
      <c r="S369" s="4"/>
      <c r="T369" s="14">
        <v>365</v>
      </c>
      <c r="U369" s="12">
        <v>42369</v>
      </c>
      <c r="V369" s="15">
        <f t="shared" si="198"/>
        <v>5.1000000000000018E-2</v>
      </c>
      <c r="AA369" s="14">
        <v>365</v>
      </c>
      <c r="AB369" s="12">
        <v>41273</v>
      </c>
      <c r="AC369" s="15">
        <f t="shared" si="199"/>
        <v>7.2999999999999982E-2</v>
      </c>
      <c r="AI369" s="60">
        <v>365</v>
      </c>
      <c r="AJ369" s="58">
        <v>42004</v>
      </c>
      <c r="AK369" s="61">
        <f t="shared" si="190"/>
        <v>5.1000000000000018E-2</v>
      </c>
      <c r="AL369" s="58">
        <v>42369</v>
      </c>
      <c r="AM369" s="61">
        <f t="shared" si="191"/>
        <v>5.1000000000000018E-2</v>
      </c>
      <c r="AO369" s="58">
        <v>42004</v>
      </c>
      <c r="AP369" s="61">
        <f t="shared" si="192"/>
        <v>5.8999999999999997E-2</v>
      </c>
      <c r="AQ369" s="58">
        <v>42369</v>
      </c>
      <c r="AR369" s="61">
        <f t="shared" si="193"/>
        <v>4.6999999999999993E-2</v>
      </c>
    </row>
    <row r="370" spans="4:44">
      <c r="D370" s="14"/>
      <c r="E370" s="12"/>
      <c r="F370" s="15"/>
      <c r="I370" s="4"/>
      <c r="J370" s="4"/>
      <c r="K370" s="4"/>
      <c r="M370" s="4"/>
      <c r="N370" s="4"/>
      <c r="Q370" s="4"/>
      <c r="R370" s="4"/>
      <c r="S370" s="4"/>
      <c r="U370" s="4"/>
      <c r="V370" s="4"/>
      <c r="AA370" s="14">
        <v>366</v>
      </c>
      <c r="AB370" s="12">
        <v>41274</v>
      </c>
      <c r="AC370" s="15">
        <f t="shared" si="199"/>
        <v>7.2999999999999982E-2</v>
      </c>
    </row>
    <row r="371" spans="4:44">
      <c r="I371" s="4"/>
      <c r="J371" s="4"/>
      <c r="K371" s="4"/>
      <c r="M371" s="4"/>
      <c r="N371" s="4"/>
      <c r="Q371" s="4"/>
      <c r="R371" s="4"/>
      <c r="S371" s="4"/>
      <c r="U371" s="4"/>
      <c r="V371" s="4"/>
    </row>
    <row r="372" spans="4:44">
      <c r="I372" s="4"/>
      <c r="J372" s="4"/>
      <c r="K372" s="4"/>
      <c r="M372" s="4"/>
      <c r="N372" s="4"/>
      <c r="Q372" s="4"/>
      <c r="R372" s="4"/>
      <c r="S372" s="4"/>
      <c r="U372" s="4"/>
      <c r="V372" s="4"/>
    </row>
    <row r="373" spans="4:44">
      <c r="I373" s="4"/>
      <c r="J373" s="4"/>
      <c r="K373" s="4"/>
      <c r="M373" s="4"/>
      <c r="N373" s="4"/>
      <c r="Q373" s="4"/>
      <c r="R373" s="4"/>
      <c r="S373" s="4"/>
      <c r="U373" s="4"/>
      <c r="V373" s="4"/>
    </row>
    <row r="374" spans="4:44">
      <c r="I374" s="4"/>
      <c r="J374" s="4"/>
      <c r="K374" s="4"/>
      <c r="M374" s="4"/>
      <c r="N374" s="4"/>
      <c r="Q374" s="4"/>
      <c r="R374" s="4"/>
      <c r="S374" s="4"/>
      <c r="U374" s="4"/>
      <c r="V374" s="4"/>
    </row>
    <row r="375" spans="4:44">
      <c r="I375" s="4"/>
      <c r="J375" s="4"/>
      <c r="K375" s="4"/>
      <c r="M375" s="4"/>
      <c r="N375" s="4"/>
      <c r="Q375" s="4"/>
      <c r="R375" s="4"/>
      <c r="S375" s="4"/>
      <c r="U375" s="4"/>
      <c r="V375" s="4"/>
    </row>
    <row r="376" spans="4:44">
      <c r="I376" s="4"/>
      <c r="J376" s="4"/>
      <c r="K376" s="4"/>
      <c r="M376" s="4"/>
      <c r="N376" s="4"/>
      <c r="Q376" s="4"/>
      <c r="R376" s="4"/>
      <c r="S376" s="4"/>
      <c r="U376" s="4"/>
      <c r="V376" s="4"/>
    </row>
    <row r="377" spans="4:44">
      <c r="I377" s="4"/>
      <c r="J377" s="4"/>
      <c r="K377" s="4"/>
      <c r="M377" s="4"/>
      <c r="N377" s="4"/>
      <c r="Q377" s="4"/>
      <c r="R377" s="4"/>
      <c r="S377" s="4"/>
      <c r="U377" s="4"/>
      <c r="V377" s="4"/>
    </row>
    <row r="378" spans="4:44">
      <c r="I378" s="4"/>
      <c r="J378" s="4"/>
      <c r="K378" s="4"/>
      <c r="M378" s="4"/>
      <c r="N378" s="4"/>
      <c r="Q378" s="4"/>
      <c r="R378" s="4"/>
      <c r="S378" s="4"/>
      <c r="U378" s="4"/>
      <c r="V378" s="4"/>
    </row>
    <row r="379" spans="4:44">
      <c r="I379" s="4"/>
      <c r="J379" s="4"/>
      <c r="K379" s="4"/>
      <c r="M379" s="4"/>
      <c r="N379" s="4"/>
      <c r="Q379" s="4"/>
      <c r="R379" s="4"/>
      <c r="S379" s="4"/>
      <c r="U379" s="4"/>
      <c r="V379" s="4"/>
    </row>
    <row r="380" spans="4:44">
      <c r="I380" s="4"/>
      <c r="J380" s="4"/>
      <c r="K380" s="4"/>
      <c r="M380" s="4"/>
      <c r="N380" s="4"/>
      <c r="Q380" s="4"/>
      <c r="R380" s="4"/>
      <c r="S380" s="4"/>
      <c r="U380" s="4"/>
      <c r="V380" s="4"/>
    </row>
    <row r="381" spans="4:44">
      <c r="I381" s="4"/>
      <c r="J381" s="4"/>
      <c r="K381" s="4"/>
      <c r="M381" s="4"/>
      <c r="N381" s="4"/>
      <c r="Q381" s="4"/>
      <c r="R381" s="4"/>
      <c r="S381" s="4"/>
      <c r="U381" s="4"/>
      <c r="V381" s="4"/>
    </row>
    <row r="382" spans="4:44">
      <c r="I382" s="4"/>
      <c r="J382" s="4"/>
      <c r="K382" s="4"/>
      <c r="M382" s="4"/>
      <c r="N382" s="4"/>
      <c r="Q382" s="4"/>
      <c r="R382" s="4"/>
      <c r="S382" s="4"/>
      <c r="U382" s="4"/>
      <c r="V382" s="4"/>
    </row>
    <row r="383" spans="4:44">
      <c r="I383" s="4"/>
      <c r="J383" s="4"/>
      <c r="K383" s="4"/>
      <c r="M383" s="4"/>
      <c r="N383" s="4"/>
      <c r="Q383" s="4"/>
      <c r="R383" s="4"/>
      <c r="S383" s="4"/>
      <c r="U383" s="4"/>
      <c r="V383" s="4"/>
    </row>
    <row r="384" spans="4:44">
      <c r="I384" s="4"/>
      <c r="J384" s="4"/>
      <c r="K384" s="4"/>
      <c r="M384" s="4"/>
      <c r="N384" s="4"/>
      <c r="Q384" s="4"/>
      <c r="R384" s="4"/>
      <c r="S384" s="4"/>
      <c r="U384" s="4"/>
      <c r="V384" s="4"/>
    </row>
    <row r="385" spans="9:22">
      <c r="I385" s="4"/>
      <c r="J385" s="4"/>
      <c r="K385" s="4"/>
      <c r="M385" s="4"/>
      <c r="N385" s="4"/>
      <c r="Q385" s="4"/>
      <c r="R385" s="4"/>
      <c r="S385" s="4"/>
      <c r="U385" s="4"/>
      <c r="V385" s="4"/>
    </row>
    <row r="386" spans="9:22">
      <c r="I386" s="4"/>
      <c r="J386" s="4"/>
      <c r="K386" s="4"/>
      <c r="M386" s="4"/>
      <c r="N386" s="4"/>
      <c r="Q386" s="4"/>
      <c r="R386" s="4"/>
      <c r="S386" s="4"/>
      <c r="U386" s="4"/>
      <c r="V386" s="4"/>
    </row>
    <row r="387" spans="9:22">
      <c r="I387" s="4"/>
      <c r="J387" s="4"/>
      <c r="K387" s="4"/>
      <c r="M387" s="4"/>
      <c r="N387" s="4"/>
      <c r="Q387" s="4"/>
      <c r="R387" s="4"/>
      <c r="S387" s="4"/>
      <c r="U387" s="4"/>
      <c r="V387" s="4"/>
    </row>
    <row r="388" spans="9:22">
      <c r="I388" s="4"/>
      <c r="J388" s="4"/>
      <c r="K388" s="4"/>
      <c r="M388" s="4"/>
      <c r="N388" s="4"/>
      <c r="Q388" s="4"/>
      <c r="R388" s="4"/>
      <c r="S388" s="4"/>
      <c r="U388" s="4"/>
      <c r="V388" s="4"/>
    </row>
  </sheetData>
  <sheetProtection password="EEEA" sheet="1" objects="1" scenarios="1" selectLockedCells="1" selectUnlockedCells="1"/>
  <customSheetViews>
    <customSheetView guid="{E031E075-6987-4F32-9116-EC6B3E9AF434}" showGridLines="0" zeroValues="0" state="hidden">
      <pane xSplit="1" ySplit="4" topLeftCell="B172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67AC2CBC-2876-4E14-8EE2-582C5F737BC3}" showGridLines="0" zeroValues="0" state="hidden" showRuler="0">
      <pane xSplit="1" ySplit="4" topLeftCell="B16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BBEE06E4-9205-40DB-9C78-E17648755B00}" showGridLines="0" zeroValues="0" state="hidden" showRuler="0">
      <pane xSplit="1" ySplit="4" topLeftCell="B16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4A5FEB23-9FEA-4E9B-A143-FBC359C68DA8}" showGridLines="0" zeroValues="0" state="hidden" showRuler="0">
      <pane xSplit="1" ySplit="4" topLeftCell="B16" activePane="bottomRight" state="frozen"/>
      <selection pane="bottomRight" activeCell="B27" sqref="B27:B41"/>
      <pageMargins left="0.75" right="0.75" top="1" bottom="1" header="0.5" footer="0.5"/>
      <headerFooter alignWithMargins="0"/>
    </customSheetView>
    <customSheetView guid="{76AC8A47-0222-474F-85DA-9CB477F01022}" showGridLines="0" zeroValues="0" state="hidden">
      <pane xSplit="1" ySplit="4" topLeftCell="B172" activePane="bottomRight" state="frozen"/>
      <selection pane="bottomRight" activeCell="B27" sqref="B27:B41"/>
      <pageMargins left="0.75" right="0.75" top="1" bottom="1" header="0.5" footer="0.5"/>
      <headerFooter alignWithMargins="0"/>
    </customSheetView>
  </customSheetViews>
  <mergeCells count="11">
    <mergeCell ref="AQ2:AR2"/>
    <mergeCell ref="AO1:AR1"/>
    <mergeCell ref="AF4:AG4"/>
    <mergeCell ref="AL2:AM2"/>
    <mergeCell ref="AI1:AM1"/>
    <mergeCell ref="D1:F1"/>
    <mergeCell ref="H1:J1"/>
    <mergeCell ref="AA1:AC1"/>
    <mergeCell ref="L1:N1"/>
    <mergeCell ref="P1:R1"/>
    <mergeCell ref="T1:V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B8" sqref="B8"/>
    </sheetView>
  </sheetViews>
  <sheetFormatPr defaultRowHeight="12.75"/>
  <cols>
    <col min="1" max="1" width="14.42578125" customWidth="1"/>
    <col min="2" max="2" width="14.85546875" customWidth="1"/>
  </cols>
  <sheetData>
    <row r="1" spans="1:2">
      <c r="A1" s="281">
        <v>1894768</v>
      </c>
    </row>
    <row r="2" spans="1:2">
      <c r="A2" s="281">
        <v>811687</v>
      </c>
    </row>
    <row r="3" spans="1:2">
      <c r="A3" s="281">
        <v>1497393</v>
      </c>
    </row>
    <row r="4" spans="1:2">
      <c r="A4" s="281">
        <v>616382</v>
      </c>
    </row>
    <row r="5" spans="1:2">
      <c r="A5" s="281">
        <v>703130</v>
      </c>
    </row>
    <row r="6" spans="1:2">
      <c r="A6" s="281">
        <v>847574</v>
      </c>
    </row>
    <row r="7" spans="1:2" ht="19.5" customHeight="1">
      <c r="A7" s="281">
        <v>1479678</v>
      </c>
    </row>
    <row r="8" spans="1:2" ht="15.75">
      <c r="A8" s="282">
        <f>SUM(A1:A7)</f>
        <v>7850612</v>
      </c>
      <c r="B8" s="282">
        <f>A8*1.5%</f>
        <v>117759.18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J18"/>
  <sheetViews>
    <sheetView topLeftCell="A4" workbookViewId="0">
      <selection activeCell="J19" sqref="J19"/>
    </sheetView>
  </sheetViews>
  <sheetFormatPr defaultRowHeight="12.75"/>
  <cols>
    <col min="7" max="7" width="4.28515625" customWidth="1"/>
    <col min="9" max="9" width="1.85546875" customWidth="1"/>
    <col min="10" max="10" width="17.42578125" customWidth="1"/>
  </cols>
  <sheetData>
    <row r="2" spans="1:10" ht="75" customHeight="1">
      <c r="A2" s="309" t="s">
        <v>256</v>
      </c>
      <c r="B2" s="309"/>
      <c r="C2" s="309"/>
      <c r="D2" s="309"/>
      <c r="E2" s="309"/>
      <c r="F2" s="309"/>
      <c r="G2" s="309"/>
      <c r="H2" s="309"/>
      <c r="I2" s="309"/>
      <c r="J2" s="309"/>
    </row>
    <row r="4" spans="1:10" ht="33.75" customHeight="1">
      <c r="A4" s="310" t="s">
        <v>251</v>
      </c>
      <c r="B4" s="310"/>
      <c r="C4" s="310"/>
      <c r="D4" s="310"/>
      <c r="E4" s="310"/>
      <c r="F4" s="310"/>
      <c r="H4" s="283">
        <v>0.34399999999999997</v>
      </c>
      <c r="J4" s="284">
        <v>1934502</v>
      </c>
    </row>
    <row r="5" spans="1:10">
      <c r="A5" s="285"/>
      <c r="B5" s="285"/>
      <c r="C5" s="285"/>
      <c r="D5" s="285"/>
      <c r="E5" s="285"/>
      <c r="F5" s="285"/>
    </row>
    <row r="6" spans="1:10" ht="45.75" customHeight="1">
      <c r="A6" s="308" t="s">
        <v>252</v>
      </c>
      <c r="B6" s="308"/>
      <c r="C6" s="308"/>
      <c r="D6" s="308"/>
      <c r="E6" s="308"/>
      <c r="F6" s="308"/>
      <c r="H6" s="283">
        <v>0.20899999999999999</v>
      </c>
      <c r="J6" s="284">
        <f>'НМЦК несколько объектов'!D101</f>
        <v>879667</v>
      </c>
    </row>
    <row r="7" spans="1:10">
      <c r="A7" s="285"/>
      <c r="B7" s="285"/>
      <c r="C7" s="285"/>
      <c r="D7" s="285"/>
      <c r="E7" s="285"/>
      <c r="F7" s="285"/>
    </row>
    <row r="8" spans="1:10" ht="45.75" customHeight="1">
      <c r="A8" s="308" t="s">
        <v>253</v>
      </c>
      <c r="B8" s="308"/>
      <c r="C8" s="308"/>
      <c r="D8" s="308"/>
      <c r="E8" s="308"/>
      <c r="F8" s="308"/>
      <c r="H8" s="283">
        <f>0.227+0.394-0.242</f>
        <v>0.379</v>
      </c>
      <c r="J8" s="284" t="e">
        <f>'НМЦК несколько объектов'!D135</f>
        <v>#N/A</v>
      </c>
    </row>
    <row r="9" spans="1:10">
      <c r="A9" s="285"/>
      <c r="B9" s="285"/>
      <c r="C9" s="285"/>
      <c r="D9" s="285"/>
      <c r="E9" s="285"/>
      <c r="F9" s="285"/>
    </row>
    <row r="10" spans="1:10" ht="36.75" customHeight="1">
      <c r="A10" s="308" t="s">
        <v>254</v>
      </c>
      <c r="B10" s="308"/>
      <c r="C10" s="308"/>
      <c r="D10" s="308"/>
      <c r="E10" s="308"/>
      <c r="F10" s="308"/>
      <c r="H10" s="283">
        <f>0.193</f>
        <v>0.193</v>
      </c>
      <c r="J10" s="284" t="e">
        <f>'НМЦК несколько объектов'!D169</f>
        <v>#N/A</v>
      </c>
    </row>
    <row r="11" spans="1:10">
      <c r="A11" s="285"/>
      <c r="B11" s="285"/>
      <c r="C11" s="285"/>
      <c r="D11" s="285"/>
      <c r="E11" s="285"/>
      <c r="F11" s="285"/>
    </row>
    <row r="12" spans="1:10" ht="38.25" customHeight="1">
      <c r="A12" s="308" t="s">
        <v>258</v>
      </c>
      <c r="B12" s="308"/>
      <c r="C12" s="308"/>
      <c r="D12" s="308"/>
      <c r="E12" s="308"/>
      <c r="F12" s="308"/>
      <c r="H12" s="283">
        <v>0.21</v>
      </c>
      <c r="J12" s="284" t="e">
        <f>'НМЦК несколько объектов'!D203</f>
        <v>#N/A</v>
      </c>
    </row>
    <row r="14" spans="1:10" ht="45.75" customHeight="1">
      <c r="A14" s="307">
        <f>'Анализ стоимости'!M9</f>
        <v>0</v>
      </c>
      <c r="B14" s="308"/>
      <c r="C14" s="308"/>
      <c r="D14" s="308"/>
      <c r="E14" s="308"/>
      <c r="F14" s="308"/>
      <c r="H14" s="283">
        <v>0.19400000000000001</v>
      </c>
      <c r="J14" s="284" t="e">
        <f>'НМЦК несколько объектов'!D237</f>
        <v>#N/A</v>
      </c>
    </row>
    <row r="16" spans="1:10" ht="45.75" customHeight="1">
      <c r="A16" s="307" t="s">
        <v>260</v>
      </c>
      <c r="B16" s="308"/>
      <c r="C16" s="308"/>
      <c r="D16" s="308"/>
      <c r="E16" s="308"/>
      <c r="F16" s="308"/>
      <c r="H16" s="283">
        <v>0.29899999999999999</v>
      </c>
      <c r="J16" s="284" t="e">
        <f>'НМЦК несколько объектов'!D271</f>
        <v>#N/A</v>
      </c>
    </row>
    <row r="18" spans="1:10" ht="45.75" customHeight="1">
      <c r="A18" s="307" t="s">
        <v>261</v>
      </c>
      <c r="B18" s="308"/>
      <c r="C18" s="308"/>
      <c r="D18" s="308"/>
      <c r="E18" s="308"/>
      <c r="F18" s="308"/>
      <c r="H18" s="283">
        <v>0.14199999999999999</v>
      </c>
      <c r="J18" s="284" t="e">
        <f>'НМЦК несколько объектов'!D305</f>
        <v>#N/A</v>
      </c>
    </row>
  </sheetData>
  <mergeCells count="9">
    <mergeCell ref="A18:F18"/>
    <mergeCell ref="A16:F16"/>
    <mergeCell ref="A2:J2"/>
    <mergeCell ref="A4:F4"/>
    <mergeCell ref="A6:F6"/>
    <mergeCell ref="A8:F8"/>
    <mergeCell ref="A10:F10"/>
    <mergeCell ref="A12:F12"/>
    <mergeCell ref="A14:F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Анализ стоимости</vt:lpstr>
      <vt:lpstr>НМЦК несколько объектов</vt:lpstr>
      <vt:lpstr>Расчет инфляции</vt:lpstr>
      <vt:lpstr>Лист1</vt:lpstr>
      <vt:lpstr>Лист2</vt:lpstr>
      <vt:lpstr>'Анализ стоимости'!Заголовки_для_печати</vt:lpstr>
      <vt:lpstr>'Анализ стоимости'!Область_печати</vt:lpstr>
      <vt:lpstr>'НМЦК несколько объектов'!Область_печати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Белошкура Андрей Александрович</dc:creator>
  <cp:lastModifiedBy>USER</cp:lastModifiedBy>
  <cp:lastPrinted>2014-10-09T12:38:19Z</cp:lastPrinted>
  <dcterms:created xsi:type="dcterms:W3CDTF">2004-02-05T08:45:17Z</dcterms:created>
  <dcterms:modified xsi:type="dcterms:W3CDTF">2014-10-29T07:21:17Z</dcterms:modified>
</cp:coreProperties>
</file>